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ЭтаКнига"/>
  <xr:revisionPtr revIDLastSave="0" documentId="13_ncr:1_{1F95F1FA-B680-485A-A38D-FF7731847444}" xr6:coauthVersionLast="47" xr6:coauthVersionMax="47" xr10:uidLastSave="{00000000-0000-0000-0000-000000000000}"/>
  <bookViews>
    <workbookView xWindow="11280" yWindow="1500" windowWidth="20430" windowHeight="15345" tabRatio="746" firstSheet="1" activeTab="1" xr2:uid="{00000000-000D-0000-FFFF-FFFF00000000}"/>
  </bookViews>
  <sheets>
    <sheet name="Свод" sheetId="24" state="hidden" r:id="rId1"/>
    <sheet name="ПРАЙС ЮСТ" sheetId="59" r:id="rId2"/>
    <sheet name="Мегафон" sheetId="3" state="hidden" r:id="rId3"/>
    <sheet name="САФМАР" sheetId="14" state="hidden" r:id="rId4"/>
    <sheet name="№А4 (ES)" sheetId="11" state="hidden" r:id="rId5"/>
    <sheet name="№А6 (LiON)" sheetId="10" state="hidden" r:id="rId6"/>
    <sheet name="№А6 ES3.0 (LiON)" sheetId="12" state="hidden" r:id="rId7"/>
    <sheet name="ES 5.0 (LiON) " sheetId="13" state="hidden" r:id="rId8"/>
    <sheet name="Дима 1" sheetId="15" state="hidden" r:id="rId9"/>
    <sheet name="Дима 2" sheetId="16" state="hidden" r:id="rId10"/>
    <sheet name="Комплекты - Д4" sheetId="72" state="hidden" r:id="rId11"/>
    <sheet name="Стоимость упаковки" sheetId="56" state="hidden" r:id="rId12"/>
    <sheet name="Себестоимость оборудования" sheetId="27" state="hidden" r:id="rId13"/>
  </sheets>
  <definedNames>
    <definedName name="_xlnm._FilterDatabase" localSheetId="1" hidden="1">'ПРАЙС ЮСТ'!$B$1:$B$71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59" l="1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K131" i="27" l="1"/>
  <c r="K130" i="27"/>
  <c r="K127" i="27"/>
  <c r="P78" i="27" s="1"/>
  <c r="O78" i="27" s="1"/>
  <c r="K118" i="27"/>
  <c r="P73" i="27" s="1"/>
  <c r="K117" i="27"/>
  <c r="K116" i="27"/>
  <c r="L108" i="27"/>
  <c r="K108" i="27"/>
  <c r="H108" i="27"/>
  <c r="N108" i="27" s="1"/>
  <c r="K107" i="27"/>
  <c r="L107" i="27" s="1"/>
  <c r="H107" i="27"/>
  <c r="N107" i="27" s="1"/>
  <c r="K106" i="27"/>
  <c r="L106" i="27" s="1"/>
  <c r="H106" i="27"/>
  <c r="N106" i="27" s="1"/>
  <c r="K105" i="27"/>
  <c r="L105" i="27" s="1"/>
  <c r="H105" i="27"/>
  <c r="N105" i="27" s="1"/>
  <c r="K104" i="27"/>
  <c r="L104" i="27" s="1"/>
  <c r="H104" i="27"/>
  <c r="N104" i="27" s="1"/>
  <c r="K103" i="27"/>
  <c r="L103" i="27" s="1"/>
  <c r="H103" i="27"/>
  <c r="N103" i="27" s="1"/>
  <c r="L102" i="27"/>
  <c r="K102" i="27"/>
  <c r="H102" i="27"/>
  <c r="N102" i="27" s="1"/>
  <c r="K101" i="27"/>
  <c r="L101" i="27" s="1"/>
  <c r="H101" i="27"/>
  <c r="N101" i="27" s="1"/>
  <c r="L100" i="27"/>
  <c r="K100" i="27"/>
  <c r="H100" i="27"/>
  <c r="N100" i="27" s="1"/>
  <c r="K99" i="27"/>
  <c r="L99" i="27" s="1"/>
  <c r="H99" i="27"/>
  <c r="N99" i="27" s="1"/>
  <c r="K98" i="27"/>
  <c r="L98" i="27" s="1"/>
  <c r="H98" i="27"/>
  <c r="L97" i="27"/>
  <c r="K97" i="27"/>
  <c r="H97" i="27"/>
  <c r="K96" i="27"/>
  <c r="L96" i="27" s="1"/>
  <c r="H96" i="27"/>
  <c r="K95" i="27"/>
  <c r="L95" i="27" s="1"/>
  <c r="H95" i="27"/>
  <c r="K94" i="27"/>
  <c r="L94" i="27" s="1"/>
  <c r="H94" i="27"/>
  <c r="K93" i="27"/>
  <c r="L93" i="27" s="1"/>
  <c r="H93" i="27"/>
  <c r="L92" i="27"/>
  <c r="K92" i="27"/>
  <c r="H92" i="27"/>
  <c r="K91" i="27"/>
  <c r="L91" i="27" s="1"/>
  <c r="H91" i="27"/>
  <c r="K90" i="27"/>
  <c r="L90" i="27" s="1"/>
  <c r="H90" i="27"/>
  <c r="K89" i="27"/>
  <c r="L89" i="27" s="1"/>
  <c r="H89" i="27"/>
  <c r="K88" i="27"/>
  <c r="L88" i="27" s="1"/>
  <c r="H88" i="27"/>
  <c r="K87" i="27"/>
  <c r="L87" i="27" s="1"/>
  <c r="H87" i="27"/>
  <c r="K86" i="27"/>
  <c r="L86" i="27" s="1"/>
  <c r="H86" i="27"/>
  <c r="K85" i="27"/>
  <c r="L85" i="27" s="1"/>
  <c r="H85" i="27"/>
  <c r="K84" i="27"/>
  <c r="L84" i="27" s="1"/>
  <c r="H84" i="27"/>
  <c r="K83" i="27"/>
  <c r="L83" i="27" s="1"/>
  <c r="H83" i="27"/>
  <c r="K82" i="27"/>
  <c r="L82" i="27" s="1"/>
  <c r="H82" i="27"/>
  <c r="L81" i="27"/>
  <c r="K81" i="27"/>
  <c r="H81" i="27"/>
  <c r="K80" i="27"/>
  <c r="L80" i="27" s="1"/>
  <c r="H80" i="27"/>
  <c r="K79" i="27"/>
  <c r="L79" i="27" s="1"/>
  <c r="H79" i="27"/>
  <c r="M78" i="27"/>
  <c r="K78" i="27"/>
  <c r="L78" i="27" s="1"/>
  <c r="H78" i="27"/>
  <c r="Q77" i="27"/>
  <c r="K77" i="27"/>
  <c r="L77" i="27" s="1"/>
  <c r="H77" i="27"/>
  <c r="Q76" i="27"/>
  <c r="K76" i="27"/>
  <c r="L76" i="27" s="1"/>
  <c r="H76" i="27"/>
  <c r="Q75" i="27"/>
  <c r="K75" i="27"/>
  <c r="L75" i="27" s="1"/>
  <c r="H75" i="27"/>
  <c r="Q74" i="27"/>
  <c r="K74" i="27"/>
  <c r="L74" i="27" s="1"/>
  <c r="H74" i="27"/>
  <c r="Q73" i="27"/>
  <c r="M73" i="27"/>
  <c r="K73" i="27"/>
  <c r="L73" i="27" s="1"/>
  <c r="H73" i="27"/>
  <c r="K72" i="27"/>
  <c r="L72" i="27" s="1"/>
  <c r="N72" i="27" s="1"/>
  <c r="H72" i="27"/>
  <c r="K71" i="27"/>
  <c r="L71" i="27" s="1"/>
  <c r="N71" i="27" s="1"/>
  <c r="H71" i="27"/>
  <c r="K70" i="27"/>
  <c r="L70" i="27" s="1"/>
  <c r="H70" i="27"/>
  <c r="K69" i="27"/>
  <c r="L69" i="27" s="1"/>
  <c r="H69" i="27"/>
  <c r="K68" i="27"/>
  <c r="L68" i="27" s="1"/>
  <c r="H68" i="27"/>
  <c r="K67" i="27"/>
  <c r="L67" i="27" s="1"/>
  <c r="H67" i="27"/>
  <c r="K66" i="27"/>
  <c r="L66" i="27" s="1"/>
  <c r="H66" i="27"/>
  <c r="K65" i="27"/>
  <c r="L65" i="27" s="1"/>
  <c r="H65" i="27"/>
  <c r="K64" i="27"/>
  <c r="L64" i="27" s="1"/>
  <c r="H64" i="27"/>
  <c r="L63" i="27"/>
  <c r="K63" i="27"/>
  <c r="H63" i="27"/>
  <c r="K62" i="27"/>
  <c r="L62" i="27" s="1"/>
  <c r="H62" i="27"/>
  <c r="L61" i="27"/>
  <c r="K61" i="27"/>
  <c r="H61" i="27"/>
  <c r="K60" i="27"/>
  <c r="L60" i="27" s="1"/>
  <c r="H60" i="27"/>
  <c r="K59" i="27"/>
  <c r="L59" i="27" s="1"/>
  <c r="H59" i="27"/>
  <c r="K58" i="27"/>
  <c r="L58" i="27" s="1"/>
  <c r="H58" i="27"/>
  <c r="K57" i="27"/>
  <c r="L57" i="27" s="1"/>
  <c r="H57" i="27"/>
  <c r="K56" i="27"/>
  <c r="L56" i="27" s="1"/>
  <c r="H56" i="27"/>
  <c r="P55" i="27"/>
  <c r="O55" i="27" s="1"/>
  <c r="N70" i="27" s="1"/>
  <c r="M55" i="27"/>
  <c r="K55" i="27"/>
  <c r="L55" i="27" s="1"/>
  <c r="H55" i="27"/>
  <c r="K54" i="27"/>
  <c r="L54" i="27" s="1"/>
  <c r="H54" i="27"/>
  <c r="K53" i="27"/>
  <c r="L53" i="27" s="1"/>
  <c r="H53" i="27"/>
  <c r="K52" i="27"/>
  <c r="L52" i="27" s="1"/>
  <c r="H52" i="27"/>
  <c r="K51" i="27"/>
  <c r="L51" i="27" s="1"/>
  <c r="H51" i="27"/>
  <c r="P50" i="27"/>
  <c r="O50" i="27" s="1"/>
  <c r="N54" i="27" s="1"/>
  <c r="M50" i="27"/>
  <c r="K50" i="27"/>
  <c r="L50" i="27" s="1"/>
  <c r="H50" i="27"/>
  <c r="K49" i="27"/>
  <c r="L49" i="27" s="1"/>
  <c r="H49" i="27"/>
  <c r="K48" i="27"/>
  <c r="L48" i="27" s="1"/>
  <c r="H48" i="27"/>
  <c r="K47" i="27"/>
  <c r="L47" i="27" s="1"/>
  <c r="H47" i="27"/>
  <c r="P46" i="27"/>
  <c r="M46" i="27"/>
  <c r="K46" i="27"/>
  <c r="L46" i="27" s="1"/>
  <c r="H46" i="27"/>
  <c r="P14" i="27"/>
  <c r="M14" i="27"/>
  <c r="G101" i="56"/>
  <c r="G100" i="56"/>
  <c r="G99" i="56"/>
  <c r="G98" i="56"/>
  <c r="G97" i="56"/>
  <c r="G96" i="56"/>
  <c r="G95" i="56"/>
  <c r="G94" i="56"/>
  <c r="G90" i="56"/>
  <c r="G89" i="56"/>
  <c r="G88" i="56"/>
  <c r="G87" i="56"/>
  <c r="G86" i="56"/>
  <c r="G85" i="56"/>
  <c r="G84" i="56"/>
  <c r="G83" i="56"/>
  <c r="G80" i="56"/>
  <c r="G79" i="56"/>
  <c r="G78" i="56"/>
  <c r="G77" i="56"/>
  <c r="G76" i="56"/>
  <c r="G75" i="56"/>
  <c r="G74" i="56"/>
  <c r="G71" i="56"/>
  <c r="G70" i="56"/>
  <c r="G69" i="56"/>
  <c r="G68" i="56"/>
  <c r="G67" i="56"/>
  <c r="G66" i="56"/>
  <c r="G65" i="56"/>
  <c r="G62" i="56"/>
  <c r="G61" i="56"/>
  <c r="G60" i="56"/>
  <c r="G59" i="56"/>
  <c r="G58" i="56"/>
  <c r="G57" i="56"/>
  <c r="G56" i="56"/>
  <c r="G53" i="56"/>
  <c r="G52" i="56"/>
  <c r="G51" i="56"/>
  <c r="G50" i="56"/>
  <c r="G49" i="56"/>
  <c r="G48" i="56"/>
  <c r="G47" i="56"/>
  <c r="G44" i="56"/>
  <c r="G43" i="56"/>
  <c r="G42" i="56"/>
  <c r="G41" i="56"/>
  <c r="G40" i="56"/>
  <c r="G39" i="56"/>
  <c r="G38" i="56"/>
  <c r="G35" i="56"/>
  <c r="G34" i="56"/>
  <c r="G33" i="56"/>
  <c r="G32" i="56"/>
  <c r="G31" i="56"/>
  <c r="G30" i="56"/>
  <c r="G29" i="56"/>
  <c r="G26" i="56"/>
  <c r="G25" i="56"/>
  <c r="G24" i="56"/>
  <c r="G23" i="56"/>
  <c r="G22" i="56"/>
  <c r="G21" i="56"/>
  <c r="G20" i="56"/>
  <c r="G17" i="56"/>
  <c r="G16" i="56"/>
  <c r="G15" i="56"/>
  <c r="G14" i="56"/>
  <c r="G13" i="56"/>
  <c r="G12" i="56"/>
  <c r="G11" i="56"/>
  <c r="G8" i="56"/>
  <c r="G7" i="56"/>
  <c r="G6" i="56"/>
  <c r="G5" i="56"/>
  <c r="G4" i="56"/>
  <c r="G3" i="56"/>
  <c r="G2" i="56"/>
  <c r="I102" i="72"/>
  <c r="G102" i="72"/>
  <c r="H102" i="72" s="1"/>
  <c r="C101" i="72"/>
  <c r="J101" i="72" s="1"/>
  <c r="K101" i="72" s="1"/>
  <c r="M101" i="72" s="1"/>
  <c r="C100" i="72"/>
  <c r="J100" i="72" s="1"/>
  <c r="K100" i="72" s="1"/>
  <c r="M100" i="72" s="1"/>
  <c r="C99" i="72"/>
  <c r="J99" i="72" s="1"/>
  <c r="K99" i="72" s="1"/>
  <c r="M99" i="72" s="1"/>
  <c r="C98" i="72"/>
  <c r="G98" i="72" s="1"/>
  <c r="I98" i="72" s="1"/>
  <c r="C97" i="72"/>
  <c r="J97" i="72" s="1"/>
  <c r="K97" i="72" s="1"/>
  <c r="M97" i="72" s="1"/>
  <c r="C96" i="72"/>
  <c r="J96" i="72" s="1"/>
  <c r="K96" i="72" s="1"/>
  <c r="M96" i="72" s="1"/>
  <c r="C95" i="72"/>
  <c r="J95" i="72" s="1"/>
  <c r="K95" i="72" s="1"/>
  <c r="M95" i="72" s="1"/>
  <c r="C94" i="72"/>
  <c r="G94" i="72" s="1"/>
  <c r="C93" i="72"/>
  <c r="K93" i="72" s="1"/>
  <c r="E91" i="72"/>
  <c r="L81" i="72"/>
  <c r="O81" i="72" s="1"/>
  <c r="G80" i="72"/>
  <c r="L80" i="72" s="1"/>
  <c r="O80" i="72" s="1"/>
  <c r="C79" i="72"/>
  <c r="K79" i="72" s="1"/>
  <c r="L79" i="72" s="1"/>
  <c r="O79" i="72" s="1"/>
  <c r="C78" i="72"/>
  <c r="K78" i="72" s="1"/>
  <c r="L78" i="72" s="1"/>
  <c r="C77" i="72"/>
  <c r="K77" i="72" s="1"/>
  <c r="L77" i="72" s="1"/>
  <c r="C76" i="72"/>
  <c r="K76" i="72" s="1"/>
  <c r="L76" i="72" s="1"/>
  <c r="C75" i="72"/>
  <c r="K75" i="72" s="1"/>
  <c r="L75" i="72" s="1"/>
  <c r="C74" i="72"/>
  <c r="K74" i="72" s="1"/>
  <c r="L74" i="72" s="1"/>
  <c r="C73" i="72"/>
  <c r="K73" i="72" s="1"/>
  <c r="L73" i="72" s="1"/>
  <c r="C72" i="72"/>
  <c r="K72" i="72" s="1"/>
  <c r="L72" i="72" s="1"/>
  <c r="C71" i="72"/>
  <c r="K71" i="72" s="1"/>
  <c r="G71" i="72" s="1"/>
  <c r="E69" i="72"/>
  <c r="L61" i="72"/>
  <c r="O61" i="72" s="1"/>
  <c r="J60" i="72"/>
  <c r="G60" i="72"/>
  <c r="L60" i="72" s="1"/>
  <c r="O60" i="72" s="1"/>
  <c r="C59" i="72"/>
  <c r="K59" i="72" s="1"/>
  <c r="L59" i="72" s="1"/>
  <c r="O59" i="72" s="1"/>
  <c r="C58" i="72"/>
  <c r="K58" i="72" s="1"/>
  <c r="L58" i="72" s="1"/>
  <c r="C57" i="72"/>
  <c r="K57" i="72" s="1"/>
  <c r="L57" i="72" s="1"/>
  <c r="C56" i="72"/>
  <c r="K56" i="72" s="1"/>
  <c r="L56" i="72" s="1"/>
  <c r="C55" i="72"/>
  <c r="K55" i="72" s="1"/>
  <c r="L55" i="72" s="1"/>
  <c r="C54" i="72"/>
  <c r="K54" i="72" s="1"/>
  <c r="L54" i="72" s="1"/>
  <c r="C53" i="72"/>
  <c r="K53" i="72" s="1"/>
  <c r="L53" i="72" s="1"/>
  <c r="C52" i="72"/>
  <c r="K52" i="72" s="1"/>
  <c r="L52" i="72" s="1"/>
  <c r="C51" i="72"/>
  <c r="K51" i="72" s="1"/>
  <c r="E49" i="72"/>
  <c r="J39" i="72"/>
  <c r="G39" i="72"/>
  <c r="L39" i="72" s="1"/>
  <c r="O39" i="72" s="1"/>
  <c r="C38" i="72"/>
  <c r="K38" i="72" s="1"/>
  <c r="L38" i="72" s="1"/>
  <c r="O38" i="72" s="1"/>
  <c r="C37" i="72"/>
  <c r="G37" i="72" s="1"/>
  <c r="C36" i="72"/>
  <c r="G36" i="72" s="1"/>
  <c r="C35" i="72"/>
  <c r="G35" i="72" s="1"/>
  <c r="C34" i="72"/>
  <c r="G34" i="72" s="1"/>
  <c r="C33" i="72"/>
  <c r="G33" i="72" s="1"/>
  <c r="C32" i="72"/>
  <c r="G32" i="72" s="1"/>
  <c r="C31" i="72"/>
  <c r="K31" i="72" s="1"/>
  <c r="L31" i="72" s="1"/>
  <c r="M31" i="72" s="1"/>
  <c r="C30" i="72"/>
  <c r="K30" i="72" s="1"/>
  <c r="L30" i="72" s="1"/>
  <c r="E28" i="72"/>
  <c r="G19" i="72"/>
  <c r="L19" i="72" s="1"/>
  <c r="O19" i="72" s="1"/>
  <c r="C18" i="72"/>
  <c r="K18" i="72" s="1"/>
  <c r="L18" i="72" s="1"/>
  <c r="O18" i="72" s="1"/>
  <c r="C17" i="72"/>
  <c r="K17" i="72" s="1"/>
  <c r="L17" i="72" s="1"/>
  <c r="C16" i="72"/>
  <c r="C15" i="72"/>
  <c r="C14" i="72"/>
  <c r="C13" i="72"/>
  <c r="C12" i="72"/>
  <c r="C11" i="72"/>
  <c r="C10" i="72"/>
  <c r="C9" i="72"/>
  <c r="G9" i="72" s="1"/>
  <c r="I9" i="72" s="1"/>
  <c r="C8" i="72"/>
  <c r="K8" i="72" s="1"/>
  <c r="E6" i="72"/>
  <c r="D98" i="16"/>
  <c r="D99" i="16" s="1"/>
  <c r="D94" i="16"/>
  <c r="E77" i="16"/>
  <c r="E70" i="16" s="1"/>
  <c r="E76" i="16"/>
  <c r="E69" i="16"/>
  <c r="E68" i="16"/>
  <c r="E64" i="16"/>
  <c r="E65" i="16" s="1"/>
  <c r="E58" i="16"/>
  <c r="E59" i="16" s="1"/>
  <c r="G45" i="16"/>
  <c r="G44" i="16"/>
  <c r="G43" i="16"/>
  <c r="G42" i="16"/>
  <c r="G41" i="16"/>
  <c r="F40" i="16"/>
  <c r="G40" i="16" s="1"/>
  <c r="G39" i="16"/>
  <c r="F38" i="16"/>
  <c r="E38" i="16"/>
  <c r="F37" i="16"/>
  <c r="G37" i="16" s="1"/>
  <c r="G35" i="16"/>
  <c r="F35" i="16"/>
  <c r="F34" i="16"/>
  <c r="G34" i="16" s="1"/>
  <c r="G30" i="16"/>
  <c r="F27" i="16"/>
  <c r="C27" i="16"/>
  <c r="F25" i="16"/>
  <c r="G25" i="16" s="1"/>
  <c r="F24" i="16"/>
  <c r="G24" i="16" s="1"/>
  <c r="F23" i="16"/>
  <c r="G23" i="16" s="1"/>
  <c r="F22" i="16"/>
  <c r="G22" i="16" s="1"/>
  <c r="F21" i="16"/>
  <c r="G21" i="16" s="1"/>
  <c r="C21" i="16"/>
  <c r="L20" i="16"/>
  <c r="D15" i="16"/>
  <c r="D10" i="16"/>
  <c r="E29" i="16" s="1"/>
  <c r="D97" i="15"/>
  <c r="D98" i="15" s="1"/>
  <c r="D99" i="15" s="1"/>
  <c r="D93" i="15"/>
  <c r="E76" i="15"/>
  <c r="E69" i="15" s="1"/>
  <c r="E75" i="15"/>
  <c r="E68" i="15"/>
  <c r="E67" i="15"/>
  <c r="E63" i="15"/>
  <c r="E64" i="15" s="1"/>
  <c r="E57" i="15"/>
  <c r="E58" i="15" s="1"/>
  <c r="G44" i="15"/>
  <c r="G43" i="15"/>
  <c r="G42" i="15"/>
  <c r="G41" i="15"/>
  <c r="G40" i="15"/>
  <c r="F39" i="15"/>
  <c r="G39" i="15" s="1"/>
  <c r="G38" i="15"/>
  <c r="F37" i="15"/>
  <c r="E37" i="15"/>
  <c r="F36" i="15"/>
  <c r="G36" i="15" s="1"/>
  <c r="F34" i="15"/>
  <c r="G34" i="15" s="1"/>
  <c r="G30" i="15"/>
  <c r="F27" i="15"/>
  <c r="C27" i="15"/>
  <c r="F25" i="15"/>
  <c r="G25" i="15" s="1"/>
  <c r="F24" i="15"/>
  <c r="G24" i="15" s="1"/>
  <c r="F23" i="15"/>
  <c r="G23" i="15" s="1"/>
  <c r="F22" i="15"/>
  <c r="G22" i="15" s="1"/>
  <c r="F21" i="15"/>
  <c r="G21" i="15" s="1"/>
  <c r="C21" i="15"/>
  <c r="L20" i="15"/>
  <c r="D15" i="15"/>
  <c r="D17" i="15" s="1"/>
  <c r="D10" i="15"/>
  <c r="G9" i="13"/>
  <c r="F8" i="13"/>
  <c r="G8" i="13" s="1"/>
  <c r="G7" i="13"/>
  <c r="F6" i="13"/>
  <c r="G6" i="13" s="1"/>
  <c r="G5" i="13"/>
  <c r="F4" i="13"/>
  <c r="G4" i="13" s="1"/>
  <c r="D2" i="13"/>
  <c r="L3" i="13" s="1"/>
  <c r="G9" i="12"/>
  <c r="F8" i="12"/>
  <c r="G8" i="12" s="1"/>
  <c r="G7" i="12"/>
  <c r="F6" i="12"/>
  <c r="G6" i="12" s="1"/>
  <c r="G5" i="12"/>
  <c r="F4" i="12"/>
  <c r="G4" i="12" s="1"/>
  <c r="D2" i="12"/>
  <c r="L3" i="12" s="1"/>
  <c r="G11" i="10"/>
  <c r="F10" i="10"/>
  <c r="G10" i="10" s="1"/>
  <c r="F9" i="10"/>
  <c r="G9" i="10" s="1"/>
  <c r="G8" i="10"/>
  <c r="F7" i="10"/>
  <c r="G7" i="10" s="1"/>
  <c r="F6" i="10"/>
  <c r="G6" i="10" s="1"/>
  <c r="G5" i="10"/>
  <c r="F4" i="10"/>
  <c r="G4" i="10" s="1"/>
  <c r="D2" i="10"/>
  <c r="L3" i="10" s="1"/>
  <c r="H13" i="10" s="1"/>
  <c r="G10" i="11"/>
  <c r="G9" i="11"/>
  <c r="K8" i="11"/>
  <c r="G8" i="11"/>
  <c r="G7" i="11"/>
  <c r="F6" i="11"/>
  <c r="G6" i="11" s="1"/>
  <c r="G5" i="11"/>
  <c r="F4" i="11"/>
  <c r="G4" i="11" s="1"/>
  <c r="D2" i="11"/>
  <c r="L3" i="11" s="1"/>
  <c r="G25" i="14"/>
  <c r="M24" i="14"/>
  <c r="N24" i="14" s="1"/>
  <c r="G23" i="14"/>
  <c r="F22" i="14"/>
  <c r="G22" i="14" s="1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F4" i="14"/>
  <c r="G4" i="14" s="1"/>
  <c r="N25" i="14" s="1"/>
  <c r="L3" i="14"/>
  <c r="H24" i="14" s="1"/>
  <c r="F45" i="24"/>
  <c r="F44" i="24"/>
  <c r="F40" i="24"/>
  <c r="F16" i="24"/>
  <c r="F15" i="24"/>
  <c r="F14" i="24"/>
  <c r="F13" i="24"/>
  <c r="F12" i="24"/>
  <c r="F11" i="24"/>
  <c r="F10" i="24"/>
  <c r="F9" i="24"/>
  <c r="F8" i="24"/>
  <c r="F7" i="24"/>
  <c r="G38" i="16" l="1"/>
  <c r="H25" i="14"/>
  <c r="H12" i="14"/>
  <c r="H30" i="16"/>
  <c r="J80" i="72"/>
  <c r="H20" i="14"/>
  <c r="H60" i="72"/>
  <c r="O46" i="27"/>
  <c r="N48" i="27" s="1"/>
  <c r="H16" i="14"/>
  <c r="H22" i="15"/>
  <c r="H21" i="14"/>
  <c r="H9" i="14"/>
  <c r="H13" i="14"/>
  <c r="H17" i="14"/>
  <c r="N98" i="27"/>
  <c r="H8" i="14"/>
  <c r="H37" i="16"/>
  <c r="H40" i="16"/>
  <c r="H7" i="14"/>
  <c r="H11" i="14"/>
  <c r="H15" i="14"/>
  <c r="H19" i="14"/>
  <c r="H23" i="14"/>
  <c r="H23" i="15"/>
  <c r="H19" i="72"/>
  <c r="H80" i="72"/>
  <c r="N47" i="27"/>
  <c r="O73" i="27"/>
  <c r="N74" i="27" s="1"/>
  <c r="J19" i="72"/>
  <c r="H4" i="10"/>
  <c r="G9" i="56"/>
  <c r="G45" i="56"/>
  <c r="G81" i="56"/>
  <c r="G91" i="56"/>
  <c r="G92" i="56" s="1"/>
  <c r="G102" i="56"/>
  <c r="G103" i="56" s="1"/>
  <c r="H10" i="10"/>
  <c r="H13" i="11"/>
  <c r="H14" i="11"/>
  <c r="H7" i="11"/>
  <c r="H7" i="10"/>
  <c r="G10" i="12"/>
  <c r="H10" i="12" s="1"/>
  <c r="H21" i="15"/>
  <c r="H5" i="11"/>
  <c r="G10" i="13"/>
  <c r="H10" i="13" s="1"/>
  <c r="H43" i="16"/>
  <c r="H44" i="16"/>
  <c r="E79" i="16"/>
  <c r="I60" i="72"/>
  <c r="I80" i="72"/>
  <c r="G36" i="56"/>
  <c r="G72" i="56"/>
  <c r="O14" i="27"/>
  <c r="N33" i="27" s="1"/>
  <c r="N50" i="27"/>
  <c r="N78" i="27"/>
  <c r="H36" i="15"/>
  <c r="G26" i="14"/>
  <c r="H26" i="14" s="1"/>
  <c r="H6" i="11"/>
  <c r="H5" i="10"/>
  <c r="H8" i="10"/>
  <c r="H11" i="10"/>
  <c r="H43" i="15"/>
  <c r="E78" i="15"/>
  <c r="H6" i="14"/>
  <c r="H10" i="14"/>
  <c r="H14" i="14"/>
  <c r="H18" i="14"/>
  <c r="H9" i="11"/>
  <c r="H6" i="10"/>
  <c r="H9" i="10"/>
  <c r="G37" i="15"/>
  <c r="H37" i="15" s="1"/>
  <c r="D14" i="16"/>
  <c r="E27" i="16" s="1"/>
  <c r="G27" i="16" s="1"/>
  <c r="H45" i="16"/>
  <c r="D100" i="16"/>
  <c r="G27" i="56"/>
  <c r="G63" i="56"/>
  <c r="N46" i="27"/>
  <c r="N55" i="27"/>
  <c r="H10" i="11"/>
  <c r="H39" i="16"/>
  <c r="H42" i="16"/>
  <c r="H39" i="72"/>
  <c r="G18" i="56"/>
  <c r="G54" i="56"/>
  <c r="H22" i="14"/>
  <c r="N26" i="14"/>
  <c r="H11" i="12"/>
  <c r="H9" i="12"/>
  <c r="H12" i="12"/>
  <c r="H13" i="12"/>
  <c r="H6" i="12"/>
  <c r="G11" i="11"/>
  <c r="G14" i="12"/>
  <c r="H11" i="13"/>
  <c r="H9" i="13"/>
  <c r="H12" i="13"/>
  <c r="H13" i="13"/>
  <c r="H6" i="13"/>
  <c r="H4" i="11"/>
  <c r="H15" i="10"/>
  <c r="H4" i="12"/>
  <c r="H4" i="13"/>
  <c r="H38" i="15"/>
  <c r="H44" i="15"/>
  <c r="E31" i="16"/>
  <c r="G31" i="16" s="1"/>
  <c r="G29" i="16"/>
  <c r="N37" i="27"/>
  <c r="N21" i="27"/>
  <c r="N23" i="27"/>
  <c r="G28" i="14"/>
  <c r="H14" i="10"/>
  <c r="H23" i="16"/>
  <c r="H4" i="14"/>
  <c r="H8" i="11"/>
  <c r="H12" i="11"/>
  <c r="G12" i="10"/>
  <c r="H5" i="12"/>
  <c r="H7" i="12"/>
  <c r="H5" i="13"/>
  <c r="H7" i="13"/>
  <c r="D14" i="15"/>
  <c r="E29" i="15"/>
  <c r="H41" i="15"/>
  <c r="H21" i="16"/>
  <c r="H38" i="16"/>
  <c r="H8" i="12"/>
  <c r="H8" i="13"/>
  <c r="H5" i="14"/>
  <c r="H39" i="15"/>
  <c r="H42" i="15"/>
  <c r="H22" i="16"/>
  <c r="I19" i="72"/>
  <c r="I39" i="72"/>
  <c r="N56" i="27"/>
  <c r="N57" i="27"/>
  <c r="N58" i="27"/>
  <c r="N59" i="27"/>
  <c r="N60" i="27"/>
  <c r="N61" i="27"/>
  <c r="N62" i="27"/>
  <c r="N63" i="27"/>
  <c r="N64" i="27"/>
  <c r="N65" i="27"/>
  <c r="N66" i="27"/>
  <c r="N67" i="27"/>
  <c r="N68" i="27"/>
  <c r="N69" i="27"/>
  <c r="N79" i="27"/>
  <c r="N80" i="27"/>
  <c r="N81" i="27"/>
  <c r="N82" i="27"/>
  <c r="N83" i="27"/>
  <c r="N84" i="27"/>
  <c r="N85" i="27"/>
  <c r="N86" i="27"/>
  <c r="N87" i="27"/>
  <c r="N88" i="27"/>
  <c r="N89" i="27"/>
  <c r="N90" i="27"/>
  <c r="N91" i="27"/>
  <c r="N92" i="27"/>
  <c r="N93" i="27"/>
  <c r="N94" i="27"/>
  <c r="N95" i="27"/>
  <c r="N96" i="27"/>
  <c r="N97" i="27"/>
  <c r="H30" i="15"/>
  <c r="D17" i="16"/>
  <c r="N51" i="27"/>
  <c r="N52" i="27"/>
  <c r="N53" i="27"/>
  <c r="Q47" i="27"/>
  <c r="G78" i="72"/>
  <c r="J78" i="72" s="1"/>
  <c r="G31" i="72"/>
  <c r="J31" i="72" s="1"/>
  <c r="K35" i="72"/>
  <c r="L35" i="72" s="1"/>
  <c r="N35" i="72" s="1"/>
  <c r="G74" i="72"/>
  <c r="J74" i="72" s="1"/>
  <c r="G79" i="72"/>
  <c r="J79" i="72" s="1"/>
  <c r="K37" i="72"/>
  <c r="L37" i="72" s="1"/>
  <c r="N37" i="72" s="1"/>
  <c r="G75" i="72"/>
  <c r="J75" i="72" s="1"/>
  <c r="K36" i="72"/>
  <c r="L36" i="72" s="1"/>
  <c r="O36" i="72" s="1"/>
  <c r="G72" i="72"/>
  <c r="J72" i="72" s="1"/>
  <c r="G8" i="72"/>
  <c r="J8" i="72" s="1"/>
  <c r="J20" i="72" s="1"/>
  <c r="L8" i="72"/>
  <c r="N8" i="72" s="1"/>
  <c r="N20" i="72" s="1"/>
  <c r="K32" i="72"/>
  <c r="L32" i="72" s="1"/>
  <c r="N32" i="72" s="1"/>
  <c r="G30" i="72"/>
  <c r="H30" i="72" s="1"/>
  <c r="H41" i="72" s="1"/>
  <c r="G38" i="72"/>
  <c r="J38" i="72" s="1"/>
  <c r="K33" i="72"/>
  <c r="L33" i="72" s="1"/>
  <c r="N33" i="72" s="1"/>
  <c r="G76" i="72"/>
  <c r="J76" i="72" s="1"/>
  <c r="H9" i="72"/>
  <c r="G73" i="72"/>
  <c r="J73" i="72" s="1"/>
  <c r="G77" i="72"/>
  <c r="J77" i="72" s="1"/>
  <c r="K34" i="72"/>
  <c r="L34" i="72" s="1"/>
  <c r="O34" i="72" s="1"/>
  <c r="K10" i="72"/>
  <c r="L10" i="72" s="1"/>
  <c r="G10" i="72"/>
  <c r="N78" i="72"/>
  <c r="O78" i="72"/>
  <c r="I32" i="72"/>
  <c r="J32" i="72"/>
  <c r="O54" i="72"/>
  <c r="N54" i="72"/>
  <c r="H71" i="72"/>
  <c r="H82" i="72" s="1"/>
  <c r="J71" i="72"/>
  <c r="J82" i="72" s="1"/>
  <c r="I71" i="72"/>
  <c r="I82" i="72" s="1"/>
  <c r="K11" i="72"/>
  <c r="L11" i="72" s="1"/>
  <c r="G11" i="72"/>
  <c r="K15" i="72"/>
  <c r="L15" i="72" s="1"/>
  <c r="G15" i="72"/>
  <c r="N30" i="72"/>
  <c r="N41" i="72" s="1"/>
  <c r="M30" i="72"/>
  <c r="M41" i="72" s="1"/>
  <c r="I35" i="72"/>
  <c r="J35" i="72"/>
  <c r="O55" i="72"/>
  <c r="N55" i="72"/>
  <c r="N75" i="72"/>
  <c r="O75" i="72"/>
  <c r="K16" i="72"/>
  <c r="L16" i="72" s="1"/>
  <c r="G16" i="72"/>
  <c r="O30" i="72"/>
  <c r="O41" i="72" s="1"/>
  <c r="I33" i="72"/>
  <c r="J33" i="72"/>
  <c r="O57" i="72"/>
  <c r="N57" i="72"/>
  <c r="N76" i="72"/>
  <c r="O76" i="72"/>
  <c r="I37" i="72"/>
  <c r="J37" i="72"/>
  <c r="N74" i="72"/>
  <c r="O74" i="72"/>
  <c r="O56" i="72"/>
  <c r="N56" i="72"/>
  <c r="K12" i="72"/>
  <c r="L12" i="72" s="1"/>
  <c r="G12" i="72"/>
  <c r="I36" i="72"/>
  <c r="J36" i="72"/>
  <c r="O58" i="72"/>
  <c r="N58" i="72"/>
  <c r="N72" i="72"/>
  <c r="M72" i="72"/>
  <c r="O72" i="72"/>
  <c r="K13" i="72"/>
  <c r="L13" i="72" s="1"/>
  <c r="G13" i="72"/>
  <c r="O17" i="72"/>
  <c r="N17" i="72"/>
  <c r="G51" i="72"/>
  <c r="L51" i="72"/>
  <c r="N73" i="72"/>
  <c r="O73" i="72"/>
  <c r="N77" i="72"/>
  <c r="O77" i="72"/>
  <c r="G93" i="72"/>
  <c r="L93" i="72"/>
  <c r="J9" i="72"/>
  <c r="O31" i="72"/>
  <c r="N31" i="72"/>
  <c r="I34" i="72"/>
  <c r="J34" i="72"/>
  <c r="M52" i="72"/>
  <c r="O52" i="72"/>
  <c r="N52" i="72"/>
  <c r="I94" i="72"/>
  <c r="H94" i="72"/>
  <c r="K14" i="72"/>
  <c r="L14" i="72" s="1"/>
  <c r="G14" i="72"/>
  <c r="O53" i="72"/>
  <c r="N53" i="72"/>
  <c r="J93" i="72"/>
  <c r="J94" i="72"/>
  <c r="K94" i="72" s="1"/>
  <c r="G17" i="72"/>
  <c r="G18" i="72"/>
  <c r="J18" i="72" s="1"/>
  <c r="G52" i="72"/>
  <c r="G97" i="72"/>
  <c r="I97" i="72" s="1"/>
  <c r="J98" i="72"/>
  <c r="K98" i="72" s="1"/>
  <c r="M98" i="72" s="1"/>
  <c r="G101" i="72"/>
  <c r="I101" i="72" s="1"/>
  <c r="K9" i="72"/>
  <c r="L9" i="72" s="1"/>
  <c r="G53" i="72"/>
  <c r="G54" i="72"/>
  <c r="G55" i="72"/>
  <c r="G56" i="72"/>
  <c r="G57" i="72"/>
  <c r="G58" i="72"/>
  <c r="G59" i="72"/>
  <c r="J59" i="72" s="1"/>
  <c r="L71" i="72"/>
  <c r="G96" i="72"/>
  <c r="I96" i="72" s="1"/>
  <c r="G100" i="72"/>
  <c r="I100" i="72" s="1"/>
  <c r="G95" i="72"/>
  <c r="I95" i="72" s="1"/>
  <c r="G99" i="72"/>
  <c r="I99" i="72" s="1"/>
  <c r="N76" i="27" l="1"/>
  <c r="G27" i="14"/>
  <c r="N22" i="27"/>
  <c r="G14" i="13"/>
  <c r="N38" i="27"/>
  <c r="N49" i="27"/>
  <c r="N39" i="27"/>
  <c r="N20" i="27"/>
  <c r="N36" i="27"/>
  <c r="N77" i="27"/>
  <c r="N26" i="27"/>
  <c r="N42" i="27"/>
  <c r="N27" i="27"/>
  <c r="N43" i="27"/>
  <c r="N24" i="27"/>
  <c r="N40" i="27"/>
  <c r="N25" i="27"/>
  <c r="N41" i="27"/>
  <c r="N75" i="27"/>
  <c r="N73" i="27"/>
  <c r="D12" i="16"/>
  <c r="N30" i="27"/>
  <c r="N15" i="27"/>
  <c r="N31" i="27"/>
  <c r="N14" i="27"/>
  <c r="N28" i="27"/>
  <c r="N44" i="27"/>
  <c r="N29" i="27"/>
  <c r="N45" i="27"/>
  <c r="N18" i="27"/>
  <c r="N34" i="27"/>
  <c r="N19" i="27"/>
  <c r="N35" i="27"/>
  <c r="N16" i="27"/>
  <c r="N32" i="27"/>
  <c r="N17" i="27"/>
  <c r="H27" i="16"/>
  <c r="G29" i="14"/>
  <c r="H28" i="14"/>
  <c r="G15" i="11"/>
  <c r="H11" i="11"/>
  <c r="H27" i="14"/>
  <c r="G30" i="14"/>
  <c r="D37" i="14"/>
  <c r="G16" i="10"/>
  <c r="H12" i="10"/>
  <c r="G29" i="15"/>
  <c r="E31" i="15"/>
  <c r="G31" i="15" s="1"/>
  <c r="H29" i="16"/>
  <c r="E28" i="16"/>
  <c r="G33" i="16"/>
  <c r="D12" i="15"/>
  <c r="E27" i="15"/>
  <c r="H31" i="16"/>
  <c r="H14" i="12"/>
  <c r="G15" i="12"/>
  <c r="H15" i="12" s="1"/>
  <c r="H14" i="13"/>
  <c r="G15" i="13"/>
  <c r="H15" i="13" s="1"/>
  <c r="I74" i="72"/>
  <c r="O32" i="72"/>
  <c r="I78" i="72"/>
  <c r="O37" i="72"/>
  <c r="I30" i="72"/>
  <c r="I41" i="72" s="1"/>
  <c r="N45" i="72" s="1"/>
  <c r="J30" i="72"/>
  <c r="J41" i="72" s="1"/>
  <c r="O45" i="72" s="1"/>
  <c r="I75" i="72"/>
  <c r="O35" i="72"/>
  <c r="N36" i="72"/>
  <c r="O33" i="72"/>
  <c r="N34" i="72"/>
  <c r="I31" i="72"/>
  <c r="H31" i="72"/>
  <c r="H8" i="72"/>
  <c r="H20" i="72" s="1"/>
  <c r="M8" i="72"/>
  <c r="M20" i="72" s="1"/>
  <c r="I8" i="72"/>
  <c r="I20" i="72" s="1"/>
  <c r="N24" i="72" s="1"/>
  <c r="I77" i="72"/>
  <c r="O8" i="72"/>
  <c r="O20" i="72" s="1"/>
  <c r="O24" i="72" s="1"/>
  <c r="I72" i="72"/>
  <c r="I76" i="72"/>
  <c r="H72" i="72"/>
  <c r="I73" i="72"/>
  <c r="J54" i="72"/>
  <c r="I54" i="72"/>
  <c r="O10" i="72"/>
  <c r="N10" i="72"/>
  <c r="J53" i="72"/>
  <c r="I53" i="72"/>
  <c r="J17" i="72"/>
  <c r="I17" i="72"/>
  <c r="O13" i="72"/>
  <c r="N13" i="72"/>
  <c r="J12" i="72"/>
  <c r="I12" i="72"/>
  <c r="O15" i="72"/>
  <c r="N15" i="72"/>
  <c r="O71" i="72"/>
  <c r="O82" i="72" s="1"/>
  <c r="N71" i="72"/>
  <c r="N82" i="72" s="1"/>
  <c r="M71" i="72"/>
  <c r="M82" i="72" s="1"/>
  <c r="O9" i="72"/>
  <c r="N9" i="72"/>
  <c r="M9" i="72"/>
  <c r="M94" i="72"/>
  <c r="L94" i="72"/>
  <c r="O51" i="72"/>
  <c r="O62" i="72" s="1"/>
  <c r="N51" i="72"/>
  <c r="N62" i="72" s="1"/>
  <c r="M51" i="72"/>
  <c r="M62" i="72" s="1"/>
  <c r="O12" i="72"/>
  <c r="N12" i="72"/>
  <c r="J11" i="72"/>
  <c r="I11" i="72"/>
  <c r="J15" i="72"/>
  <c r="I15" i="72"/>
  <c r="J51" i="72"/>
  <c r="J62" i="72" s="1"/>
  <c r="I51" i="72"/>
  <c r="I62" i="72" s="1"/>
  <c r="H51" i="72"/>
  <c r="H62" i="72" s="1"/>
  <c r="L104" i="72"/>
  <c r="M93" i="72"/>
  <c r="M104" i="72" s="1"/>
  <c r="J57" i="72"/>
  <c r="I57" i="72"/>
  <c r="I93" i="72"/>
  <c r="I104" i="72" s="1"/>
  <c r="H93" i="72"/>
  <c r="H104" i="72" s="1"/>
  <c r="N22" i="72"/>
  <c r="O16" i="72"/>
  <c r="N16" i="72"/>
  <c r="J13" i="72"/>
  <c r="I13" i="72"/>
  <c r="O43" i="72"/>
  <c r="J58" i="72"/>
  <c r="I58" i="72"/>
  <c r="J16" i="72"/>
  <c r="I16" i="72"/>
  <c r="J56" i="72"/>
  <c r="I56" i="72"/>
  <c r="J14" i="72"/>
  <c r="I14" i="72"/>
  <c r="M43" i="72"/>
  <c r="M45" i="72"/>
  <c r="O11" i="72"/>
  <c r="N11" i="72"/>
  <c r="J55" i="72"/>
  <c r="I55" i="72"/>
  <c r="H52" i="72"/>
  <c r="J52" i="72"/>
  <c r="I52" i="72"/>
  <c r="O14" i="72"/>
  <c r="N14" i="72"/>
  <c r="N43" i="72"/>
  <c r="J10" i="72"/>
  <c r="I10" i="72"/>
  <c r="R73" i="27" l="1"/>
  <c r="G16" i="12"/>
  <c r="E28" i="15"/>
  <c r="G33" i="15"/>
  <c r="G27" i="15"/>
  <c r="G16" i="13"/>
  <c r="H16" i="10"/>
  <c r="G17" i="10"/>
  <c r="H17" i="10" s="1"/>
  <c r="H29" i="14"/>
  <c r="I29" i="14" s="1"/>
  <c r="I38" i="14"/>
  <c r="H33" i="16"/>
  <c r="H31" i="15"/>
  <c r="G16" i="11"/>
  <c r="H16" i="11" s="1"/>
  <c r="H15" i="11"/>
  <c r="H16" i="12"/>
  <c r="G17" i="12"/>
  <c r="H17" i="12" s="1"/>
  <c r="E32" i="16"/>
  <c r="G32" i="16" s="1"/>
  <c r="G28" i="16"/>
  <c r="H29" i="15"/>
  <c r="D39" i="14"/>
  <c r="G31" i="14"/>
  <c r="H30" i="14"/>
  <c r="M24" i="72"/>
  <c r="M22" i="72"/>
  <c r="O22" i="72"/>
  <c r="O66" i="72"/>
  <c r="O64" i="72"/>
  <c r="O84" i="72"/>
  <c r="O86" i="72"/>
  <c r="N64" i="72"/>
  <c r="N66" i="72"/>
  <c r="M106" i="72"/>
  <c r="M108" i="72"/>
  <c r="N84" i="72"/>
  <c r="N86" i="72"/>
  <c r="L108" i="72"/>
  <c r="L106" i="72"/>
  <c r="M64" i="72"/>
  <c r="M66" i="72"/>
  <c r="M84" i="72"/>
  <c r="M86" i="72"/>
  <c r="G17" i="11" l="1"/>
  <c r="G18" i="11" s="1"/>
  <c r="H18" i="11" s="1"/>
  <c r="H27" i="15"/>
  <c r="H32" i="16"/>
  <c r="H16" i="13"/>
  <c r="G17" i="13"/>
  <c r="H17" i="13" s="1"/>
  <c r="G18" i="12"/>
  <c r="H18" i="12" s="1"/>
  <c r="G18" i="10"/>
  <c r="H33" i="15"/>
  <c r="G32" i="14"/>
  <c r="H31" i="14"/>
  <c r="H28" i="16"/>
  <c r="G47" i="16"/>
  <c r="I32" i="16" s="1"/>
  <c r="G28" i="15"/>
  <c r="E32" i="15"/>
  <c r="G32" i="15" s="1"/>
  <c r="G19" i="11" l="1"/>
  <c r="H19" i="11" s="1"/>
  <c r="H17" i="11"/>
  <c r="I28" i="16"/>
  <c r="H32" i="15"/>
  <c r="G46" i="15"/>
  <c r="I28" i="15" s="1"/>
  <c r="G18" i="13"/>
  <c r="H18" i="13" s="1"/>
  <c r="H28" i="15"/>
  <c r="H18" i="10"/>
  <c r="G19" i="10"/>
  <c r="H19" i="10" s="1"/>
  <c r="I47" i="16"/>
  <c r="H47" i="16"/>
  <c r="I30" i="16"/>
  <c r="I40" i="16"/>
  <c r="I38" i="16"/>
  <c r="I22" i="16"/>
  <c r="G48" i="16"/>
  <c r="H48" i="16" s="1"/>
  <c r="I39" i="16"/>
  <c r="I37" i="16"/>
  <c r="I23" i="16"/>
  <c r="I21" i="16"/>
  <c r="I27" i="16"/>
  <c r="I31" i="16"/>
  <c r="I29" i="16"/>
  <c r="I33" i="16"/>
  <c r="G33" i="14"/>
  <c r="H32" i="14"/>
  <c r="D38" i="14"/>
  <c r="D40" i="14"/>
  <c r="G20" i="10" l="1"/>
  <c r="H20" i="10" s="1"/>
  <c r="G49" i="16"/>
  <c r="H49" i="16" s="1"/>
  <c r="G50" i="16"/>
  <c r="I46" i="16"/>
  <c r="I46" i="15"/>
  <c r="H46" i="15"/>
  <c r="I38" i="15"/>
  <c r="I39" i="15"/>
  <c r="I21" i="15"/>
  <c r="I30" i="15"/>
  <c r="I36" i="15"/>
  <c r="I22" i="15"/>
  <c r="I37" i="15"/>
  <c r="I23" i="15"/>
  <c r="G47" i="15"/>
  <c r="H47" i="15" s="1"/>
  <c r="I29" i="15"/>
  <c r="I31" i="15"/>
  <c r="I27" i="15"/>
  <c r="I33" i="15"/>
  <c r="G34" i="14"/>
  <c r="H33" i="14"/>
  <c r="I32" i="15"/>
  <c r="G35" i="14" l="1"/>
  <c r="H34" i="14"/>
  <c r="G48" i="15"/>
  <c r="H50" i="16"/>
  <c r="G51" i="16"/>
  <c r="G49" i="15" l="1"/>
  <c r="I45" i="15"/>
  <c r="H48" i="15"/>
  <c r="G52" i="16"/>
  <c r="D102" i="16"/>
  <c r="H51" i="16"/>
  <c r="D90" i="16"/>
  <c r="H52" i="16" l="1"/>
  <c r="G53" i="16"/>
  <c r="H53" i="16" s="1"/>
  <c r="H49" i="15"/>
  <c r="G50" i="15"/>
  <c r="G51" i="15" l="1"/>
  <c r="D101" i="15"/>
  <c r="H50" i="15"/>
  <c r="D89" i="15"/>
  <c r="H51" i="15" l="1"/>
  <c r="G52" i="15"/>
  <c r="H52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19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 последовательно и 7 таких цепочек параллельно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19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 последовательно и 7 таких цепочек параллельно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8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Используем б/у 
поддоны от сырья ООО Хевел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Q73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1 комплект
</t>
        </r>
      </text>
    </comment>
  </commentList>
</comments>
</file>

<file path=xl/sharedStrings.xml><?xml version="1.0" encoding="utf-8"?>
<sst xmlns="http://schemas.openxmlformats.org/spreadsheetml/2006/main" count="1468" uniqueCount="610">
  <si>
    <t>Оборудование</t>
  </si>
  <si>
    <t>HVL 310 A</t>
  </si>
  <si>
    <t>Гетероструктурный фотоэлектрический модуль</t>
  </si>
  <si>
    <t>Гетероструктурный фотоэлектрический модуль пиковой мощностью 310 Вт</t>
  </si>
  <si>
    <t>Инверторная станция</t>
  </si>
  <si>
    <t>Инверторная станция Victron 0,5 кВт в составе:</t>
  </si>
  <si>
    <t>2.1.</t>
  </si>
  <si>
    <t>Victron MultiPlus 48/800/9 (PMP481800000)</t>
  </si>
  <si>
    <t xml:space="preserve">инвертор с интегрированным зарядным устройством </t>
  </si>
  <si>
    <t>инвертор с интегрированным зарядным устройством Victron MultiPlus 48/800/9</t>
  </si>
  <si>
    <t>2.2.</t>
  </si>
  <si>
    <t>Victron SmartSolar Charge Controller MPPT 150/35 (SCC115035210)</t>
  </si>
  <si>
    <t xml:space="preserve">контроллер для подключения ФЭМ </t>
  </si>
  <si>
    <t>контроллер для подключения ФЭМ Victron SmartSolar Charge Controller MPPT 150/35</t>
  </si>
  <si>
    <t>2.3.</t>
  </si>
  <si>
    <t>Victron Color Control GX (BPP000300100R)</t>
  </si>
  <si>
    <t xml:space="preserve">монитор </t>
  </si>
  <si>
    <t>монитор Victron Color Control GX</t>
  </si>
  <si>
    <t>2.4.</t>
  </si>
  <si>
    <t>Victron 12V/165Ah Gel Deep Cycle Batt (BAT412151104)</t>
  </si>
  <si>
    <t xml:space="preserve">аккумуляторная батарея </t>
  </si>
  <si>
    <t>аккумуляторная батарея Victron 12V/165Ah Gel Deep Cycle Batt</t>
  </si>
  <si>
    <t>2.5.</t>
  </si>
  <si>
    <t>Victron Battery Balancer (BBA000100100)</t>
  </si>
  <si>
    <t xml:space="preserve">балансер АКБ </t>
  </si>
  <si>
    <t>балансер АКБ Victron Battery Balancer</t>
  </si>
  <si>
    <t>2.6.</t>
  </si>
  <si>
    <t>кабельное и коммутационное оборудование</t>
  </si>
  <si>
    <t>2.7.</t>
  </si>
  <si>
    <t>шкаф для размещения оборудования</t>
  </si>
  <si>
    <t>2.8.</t>
  </si>
  <si>
    <t>система крепления ФЭМ</t>
  </si>
  <si>
    <t xml:space="preserve">ИТОГО стоимость оборудования </t>
  </si>
  <si>
    <t>№</t>
  </si>
  <si>
    <t>Код/артикул оборудования</t>
  </si>
  <si>
    <t>Описание</t>
  </si>
  <si>
    <t xml:space="preserve">Наименование  </t>
  </si>
  <si>
    <t>Кол-во</t>
  </si>
  <si>
    <r>
      <t xml:space="preserve">ЛОТ1. </t>
    </r>
    <r>
      <rPr>
        <b/>
        <sz val="12"/>
        <color theme="1"/>
        <rFont val="Arial Narrow"/>
        <family val="2"/>
        <charset val="204"/>
      </rPr>
      <t xml:space="preserve">Альтернативный источник энергии. Солнечная панель. </t>
    </r>
  </si>
  <si>
    <t xml:space="preserve">Мощность нагрузки - 1  кВт </t>
  </si>
  <si>
    <t>Victron 1,0 кВт</t>
  </si>
  <si>
    <t>Инверторная станция Victron 1,0 кВт в составе:</t>
  </si>
  <si>
    <t>SmartSolar Charge Controller MPPT 150/45 (SCC115045310)</t>
  </si>
  <si>
    <t>контроллер для подключения ФЭМ SmartSolar Charge Controller MPPT 150/45</t>
  </si>
  <si>
    <t xml:space="preserve">аккумуляторные батареи </t>
  </si>
  <si>
    <t>аккумуляторные батареи Victron 12V/165Ah Gel Deep Cycle Batt</t>
  </si>
  <si>
    <r>
      <t>ЛОТ2.</t>
    </r>
    <r>
      <rPr>
        <b/>
        <sz val="12"/>
        <color theme="1"/>
        <rFont val="Arial Narrow"/>
        <family val="2"/>
        <charset val="204"/>
      </rPr>
      <t xml:space="preserve"> Альтернативный источник энергии. Солнечная панель. </t>
    </r>
  </si>
  <si>
    <t xml:space="preserve">Мощность нагрузки - 3  кВт </t>
  </si>
  <si>
    <t>Victron 3,0 кВт</t>
  </si>
  <si>
    <t>Инверторная станция Victron 3,0 кВт в составе:</t>
  </si>
  <si>
    <t>Victron MultiPlus 48/1200/13-16 230V VE.Bus (PMP482120000)</t>
  </si>
  <si>
    <t>инвертор с интегрированным зарядным устройством Victron MultiPlus 48/1200/13-16 230V VE.Bus</t>
  </si>
  <si>
    <t>Victron OPZV600 (BAT702601260)</t>
  </si>
  <si>
    <t>аккумуляторные батареи Victron OPZV600</t>
  </si>
  <si>
    <r>
      <t xml:space="preserve">ЛОТ2. </t>
    </r>
    <r>
      <rPr>
        <b/>
        <sz val="12"/>
        <color theme="1"/>
        <rFont val="Arial Narrow"/>
        <family val="2"/>
        <charset val="204"/>
      </rPr>
      <t xml:space="preserve">Альтернативный источник энергии. Солнечная панель. </t>
    </r>
  </si>
  <si>
    <t xml:space="preserve">Мощность нагрузки - 5  кВт </t>
  </si>
  <si>
    <t>Victron 5,0 кВт</t>
  </si>
  <si>
    <t>Инверторная станция в составе:</t>
  </si>
  <si>
    <t>Инверторная станция Victron 5,0 кВт в составе:</t>
  </si>
  <si>
    <t>MultiPlus 48/3000/35-16 (PMP483020001)</t>
  </si>
  <si>
    <t>инвертор с интегрированным зарядным устройством</t>
  </si>
  <si>
    <t>инвертор с интегрированным зарядным устройством MultiPlus 48/3000/35-16</t>
  </si>
  <si>
    <t>аккумуляторные батареи</t>
  </si>
  <si>
    <t>аккумуляторные батареи OPZV600 2v</t>
  </si>
  <si>
    <t>кВт</t>
  </si>
  <si>
    <t>цепочек по</t>
  </si>
  <si>
    <t>ФЭМ</t>
  </si>
  <si>
    <t>ЗАДАННЫЕ ЗНАЧЕНИЯ</t>
  </si>
  <si>
    <t>ед. изм</t>
  </si>
  <si>
    <t xml:space="preserve">Кол-во </t>
  </si>
  <si>
    <t>Цена за шт, руб.
(без НДС)</t>
  </si>
  <si>
    <t>Себестоимость без НДС, руб.</t>
  </si>
  <si>
    <t>Уд. стоимость</t>
  </si>
  <si>
    <t>Контрагент</t>
  </si>
  <si>
    <t>Мощность ФЭС, Вт</t>
  </si>
  <si>
    <t>шт</t>
  </si>
  <si>
    <t>Курс USD</t>
  </si>
  <si>
    <t>Курс евро</t>
  </si>
  <si>
    <t>м</t>
  </si>
  <si>
    <t>АКБ GEL 12-150</t>
  </si>
  <si>
    <t>кВт*ч</t>
  </si>
  <si>
    <t>Поддоны под АКБ</t>
  </si>
  <si>
    <t>Итого за оборудование</t>
  </si>
  <si>
    <t>Разработка КД</t>
  </si>
  <si>
    <t xml:space="preserve">Доставка </t>
  </si>
  <si>
    <t>СМР+ПНР+ непредвиденные затраты (включая доп кабель, жгуты для АКБ)</t>
  </si>
  <si>
    <t>%</t>
  </si>
  <si>
    <t>СЕБЕСТОИМОСТЬ, руб. без НДС:</t>
  </si>
  <si>
    <t>РЕНТАБЕЛЬНОСТЬ</t>
  </si>
  <si>
    <t>ИТОГО с учетом рентабельности, руб. без НДС:</t>
  </si>
  <si>
    <t>НДС 18%, руб.</t>
  </si>
  <si>
    <t>ИТОГО (с НДС), руб.</t>
  </si>
  <si>
    <t>Доставка EU</t>
  </si>
  <si>
    <t>маш.</t>
  </si>
  <si>
    <t>Итого EU</t>
  </si>
  <si>
    <t>Доставка RU</t>
  </si>
  <si>
    <t>Соединители; (шт)</t>
  </si>
  <si>
    <t>Модули токопленочные 20 шт в паллете и 33 паллет в машине</t>
  </si>
  <si>
    <t xml:space="preserve">Металл 3 машины на 1 МВт </t>
  </si>
  <si>
    <t>32 инвертора на фуру</t>
  </si>
  <si>
    <t>Кабель переменного тока</t>
  </si>
  <si>
    <t>Комплект активной вентиляции (для генратора 4-8кВт, воздушного охлаждения)</t>
  </si>
  <si>
    <t>Контейнер для установки САЭС (изотермический) (CSV-4-8D/GF/V6SM)</t>
  </si>
  <si>
    <t>Комплект №С4</t>
  </si>
  <si>
    <t>Комплект №С5</t>
  </si>
  <si>
    <t>Фотоэлектрические модули JAM60S01/PR 310 Вт</t>
  </si>
  <si>
    <t>Опорные конструкции*</t>
  </si>
  <si>
    <t>** без учета таможенного оформления и логистики</t>
  </si>
  <si>
    <t>Обвязка (провода) сечение 2,5 мм+коннектора пара</t>
  </si>
  <si>
    <t>Наценка</t>
  </si>
  <si>
    <t>ИТОГО с учетом наценки, руб. без НДС:</t>
  </si>
  <si>
    <t>АКБ GEL 12-100</t>
  </si>
  <si>
    <t>АКБ GEL 12-200</t>
  </si>
  <si>
    <t>* оценочно на крышу</t>
  </si>
  <si>
    <t xml:space="preserve"> Victron MultiPlus 48/3000/35-50**</t>
  </si>
  <si>
    <t xml:space="preserve"> Victron SmartSolar MPPT 250/60-MC4 **</t>
  </si>
  <si>
    <t>Комплект №А6 (выходная мощность 2400 Вт/ пик 6000 Вт) функция ИБП</t>
  </si>
  <si>
    <t>ГРЩ +комплектующие+защита</t>
  </si>
  <si>
    <t>BYD Battery-Box  10.0 **</t>
  </si>
  <si>
    <t>Venus GX **</t>
  </si>
  <si>
    <t>Комплект EasySolar 1.2 (выходная мощность 1300Вт/ пик 3000 Вт) функция ИБП</t>
  </si>
  <si>
    <t>BYD Battery-Box  13.8 **</t>
  </si>
  <si>
    <t xml:space="preserve"> Victron EasySolar 48/3000/35 MPPT 150/70 Color Control**</t>
  </si>
  <si>
    <t xml:space="preserve"> Victron EasySolar 24/1600/40-16 MPPT 100/50 Color control**</t>
  </si>
  <si>
    <t>Комплектующие</t>
  </si>
  <si>
    <t>Комплект Easy Solar 3.0 (выходная мощность 2400 Вт/ пик 6000 Вт) функция ИБП</t>
  </si>
  <si>
    <t xml:space="preserve"> Victron EasySolar 48/5000/70 MPPT 150/100 Color Control**</t>
  </si>
  <si>
    <t>Комплект Easy Solar 5.0 (выходная мощность 4000 Вт/ пик 10000 Вт) функция ИБП</t>
  </si>
  <si>
    <t>цепочек</t>
  </si>
  <si>
    <t>ФЭМ в цепочке</t>
  </si>
  <si>
    <t>Фотоэлектрические модули Хевел, HJT-310, 310 Вт</t>
  </si>
  <si>
    <t>Инверторный модуль 4.5кВт/ 1600Ач (SV- 5.0/48V-1600D)</t>
  </si>
  <si>
    <t>СВЕТон</t>
  </si>
  <si>
    <t>Панель управления Color Control GX</t>
  </si>
  <si>
    <t>компл.</t>
  </si>
  <si>
    <t>Дизель генератор TOYO TG-21 SBS16SS 15.6 кВт 220В</t>
  </si>
  <si>
    <t>Контроллер заряда BlueSolar MPPT 150/85 Victron</t>
  </si>
  <si>
    <t>Кабель солнечный 4,0 - соединитель 3,5м кабеля солнечных панелей (МС4 +/-), шт</t>
  </si>
  <si>
    <t>Кабель солнечный 6,0 - 15м(пара) подключения солнечных панелей к контроллеру (МС4 +/-), компл.</t>
  </si>
  <si>
    <t>MC4 Y-тройник F/MM (гнездо/штекер-штекер) (Multi-Contact)</t>
  </si>
  <si>
    <t>MC4 Y-тройник M/FF (штекер/гнездо-гнездо) (Multi-Contact)</t>
  </si>
  <si>
    <t>Система кондиционирования контейнера (без воздухообмена)</t>
  </si>
  <si>
    <t>Фильтр топливный TOYO TG-21SBS</t>
  </si>
  <si>
    <t>Фильтр масляный TOYO TG-21SBS</t>
  </si>
  <si>
    <t>Фильтр воздушный  TOYO TG-21SBS</t>
  </si>
  <si>
    <t>Прокладка клапанной крышки TOYO TG-21SBS</t>
  </si>
  <si>
    <t>Ремень приводной TOYO TG-21SBS</t>
  </si>
  <si>
    <t>Материалы расходные, прочие</t>
  </si>
  <si>
    <t>Доставка РФ Хевел</t>
  </si>
  <si>
    <t>Сборка  (СВЕТон)</t>
  </si>
  <si>
    <t>Шеф-монтаж Хевел</t>
  </si>
  <si>
    <t>Непредвиденные затраты</t>
  </si>
  <si>
    <t>Наценка на ФЭМ</t>
  </si>
  <si>
    <t>Цена ФЭМ с учетом наценки</t>
  </si>
  <si>
    <t>Наценка на СМР, ПНР, доставка, оборудовнаие кроме ФЭМ</t>
  </si>
  <si>
    <t>Цена СМР, ПНР, доставка, оборудовнаие с учетом наценки</t>
  </si>
  <si>
    <t>,</t>
  </si>
  <si>
    <t>Себестоимость</t>
  </si>
  <si>
    <t>Стоимость ФЭМ /Вт</t>
  </si>
  <si>
    <t>Цена продажи</t>
  </si>
  <si>
    <t>прибыль по проекту</t>
  </si>
  <si>
    <t>Рентабельность сделки, %</t>
  </si>
  <si>
    <t>АГЭУ на 8 кВт, (2,4 кВт ФЭМ) СВЕТОН</t>
  </si>
  <si>
    <t>MultiPlus 48/5000/70-100</t>
  </si>
  <si>
    <t>Color Control GX</t>
  </si>
  <si>
    <t>BlueSolar MPPT 150/85-MC4</t>
  </si>
  <si>
    <t>Мощность ФЭС</t>
  </si>
  <si>
    <t>Мощность фотоэлектрического модуля</t>
  </si>
  <si>
    <t>Вт</t>
  </si>
  <si>
    <r>
      <t xml:space="preserve">Емкость накопителя </t>
    </r>
    <r>
      <rPr>
        <b/>
        <sz val="12"/>
        <color theme="1"/>
        <rFont val="Times New Roman"/>
        <family val="1"/>
        <charset val="204"/>
      </rPr>
      <t>требуемая</t>
    </r>
  </si>
  <si>
    <t>Для низковольтных накопителей!</t>
  </si>
  <si>
    <t>Емкость одного аккумулятора</t>
  </si>
  <si>
    <t>Ач</t>
  </si>
  <si>
    <t>Напряжение ячейки номинальное</t>
  </si>
  <si>
    <t>В</t>
  </si>
  <si>
    <t>Максимальное количество параллельно соединенных ячеек в стринге</t>
  </si>
  <si>
    <t>Максимальное количество последовательно соединенных ячеек в стринге</t>
  </si>
  <si>
    <t>Сколько необхожимо стрингов</t>
  </si>
  <si>
    <t>Емкость накопителя, получаемая в итоге</t>
  </si>
  <si>
    <t>Цена за ампер-час</t>
  </si>
  <si>
    <t>$/Ач</t>
  </si>
  <si>
    <t>с НДС!</t>
  </si>
  <si>
    <t>Количество параллельно соединенных ячеек в стринге</t>
  </si>
  <si>
    <t>Количество последовательно соединенных ячеек в составе стринга</t>
  </si>
  <si>
    <t>Напряжение DC стринга, максимальное, исходя из необходимой емкости</t>
  </si>
  <si>
    <t>% от стоимости оборудования</t>
  </si>
  <si>
    <t>$</t>
  </si>
  <si>
    <t>Опорная конструкциия с креплением на контейнере; (шт)</t>
  </si>
  <si>
    <t>€</t>
  </si>
  <si>
    <t>Зарядное устройство Victron BlueSolar 150/70 MPPT Can-bus</t>
  </si>
  <si>
    <t>коммуникационный центр Venus GX</t>
  </si>
  <si>
    <t>Автономный инвертор Victron Quattro 48/10000/140-100/100 3ф конфигурация</t>
  </si>
  <si>
    <t>КШПТ для параллельного соединения ФЭМ</t>
  </si>
  <si>
    <t>BMS 1го уровня (ячейка)</t>
  </si>
  <si>
    <t>BMS 2го уровня (блок)</t>
  </si>
  <si>
    <t>BMS 3го уровня (батарея)</t>
  </si>
  <si>
    <t>Датчики тока</t>
  </si>
  <si>
    <t xml:space="preserve"> Кронштейны для установки плат на ячейки</t>
  </si>
  <si>
    <t>Комплект ответных частей (разъемы и прочая эл-тех продукция)</t>
  </si>
  <si>
    <t>компл</t>
  </si>
  <si>
    <t>Контейнер морской 20 футов утепленный для всего</t>
  </si>
  <si>
    <t>ДГУ</t>
  </si>
  <si>
    <t>Обвязка (солнечные провода)</t>
  </si>
  <si>
    <t>м/п</t>
  </si>
  <si>
    <t>Щитовое оборудование (ГРЩ, ЩИ)</t>
  </si>
  <si>
    <t>Кабельная продукция (силовой кабель, контрольный, заземление, муфты)</t>
  </si>
  <si>
    <t xml:space="preserve">комплект </t>
  </si>
  <si>
    <t>Винтовые сваи 1.5 м</t>
  </si>
  <si>
    <t>Доставка РФ до перевалочной базы (ж/д, авто)</t>
  </si>
  <si>
    <t>Проектирование</t>
  </si>
  <si>
    <t>Сетевой инвертор</t>
  </si>
  <si>
    <t>Расчет доставки:</t>
  </si>
  <si>
    <t xml:space="preserve">Сетевой инвертор </t>
  </si>
  <si>
    <t>Итого по доставке по Европе</t>
  </si>
  <si>
    <t xml:space="preserve">Фотоэлектрические модули полискристалл 250 Вт </t>
  </si>
  <si>
    <t>Опорные конструкции</t>
  </si>
  <si>
    <t>Кабель постоянного тока (сечение 6 кв.мм)</t>
  </si>
  <si>
    <t>Коннекторы MC4</t>
  </si>
  <si>
    <t>Щитовое оборудование</t>
  </si>
  <si>
    <t>Контроллеры, КШПТ</t>
  </si>
  <si>
    <t>Контейнер с ДГУ</t>
  </si>
  <si>
    <t>Контейнеры прочие</t>
  </si>
  <si>
    <t>Ограждение</t>
  </si>
  <si>
    <t xml:space="preserve">Итого доставка в РФ </t>
  </si>
  <si>
    <t>Модули поликристалл 25 шт в паллете и 16 паллет в машине</t>
  </si>
  <si>
    <t>Ботуобинский: 49804 руб./т, 330г/кВтч.</t>
  </si>
  <si>
    <t>Непа: 49378 руб./т, 330 г/кВтч.</t>
  </si>
  <si>
    <t>Ужман: 49378 руб./т, 263 г/кВтч.</t>
  </si>
  <si>
    <t>CAPEX Непа</t>
  </si>
  <si>
    <t>Базовая экономика</t>
  </si>
  <si>
    <t>Выработка, кВт-ч в год</t>
  </si>
  <si>
    <t>Затраты на топливо, руб в год</t>
  </si>
  <si>
    <t>Экономика АГЭУ</t>
  </si>
  <si>
    <t>Вырабокта на ФЭС, кВт-ч</t>
  </si>
  <si>
    <t>Выработка на ДЭС, кВтч-</t>
  </si>
  <si>
    <t>Экономия</t>
  </si>
  <si>
    <t>срок окупаемости простой</t>
  </si>
  <si>
    <t>Зарядное устройство Victron BlueSolar 150/85 MPPT Can-bus</t>
  </si>
  <si>
    <t>Автономный инвертор Victron Quattro 48/15000/200-100/100 3ф конфигурация</t>
  </si>
  <si>
    <t>Контейнер морской 20 футов утепленный для оборудования</t>
  </si>
  <si>
    <t>Контейнер морской 20 футов обычный</t>
  </si>
  <si>
    <t>Итого, шт</t>
  </si>
  <si>
    <t>Наименование</t>
  </si>
  <si>
    <t>Комплект №C1 (однофазный 1 MPPT)</t>
  </si>
  <si>
    <t>Комплект №C2 (однофазный 1 MPPT)</t>
  </si>
  <si>
    <t>Комплект №C3 (однофазный 2 MPPT)</t>
  </si>
  <si>
    <t>Комплект №C4 (трехфазный 2 MPPT)</t>
  </si>
  <si>
    <t>Комплект №C5 (трехфазный 2 MPPT)</t>
  </si>
  <si>
    <t>Коммуникационный центр Venus GX</t>
  </si>
  <si>
    <t>Проект</t>
  </si>
  <si>
    <t>Комплект</t>
  </si>
  <si>
    <t>Комплекты для розницы</t>
  </si>
  <si>
    <t>Victron Phoenix 12/250VE.Direct Schuko</t>
  </si>
  <si>
    <t xml:space="preserve">Victron SmartSolar Charge Controller MPPT 100/20 </t>
  </si>
  <si>
    <t>Victron MultiPlus 12/500/20-16**</t>
  </si>
  <si>
    <t>Victron MultiPlus 24/1200/25-16</t>
  </si>
  <si>
    <t xml:space="preserve">Victron SmartSolar Charge Controller MPPT 100/50 </t>
  </si>
  <si>
    <t>Victron MultiPlus C 24/2000/50-30**</t>
  </si>
  <si>
    <t>Victron SmartSolar MPPT 150/60-MC4</t>
  </si>
  <si>
    <t>Victron MultiPlus 48/3000/35-50</t>
  </si>
  <si>
    <t xml:space="preserve">Victron SmartSolar MPPT 250/60-MC4 </t>
  </si>
  <si>
    <t>Victron EasySolar 24/1600/40-16 MPPT 100/50 Color control</t>
  </si>
  <si>
    <t>Victron EasySolar 48/3000/35 MPPT 150/70 Color Control</t>
  </si>
  <si>
    <t>Victron EasySolar 48/5000/70 MPPT 150/100 Color Control</t>
  </si>
  <si>
    <t>Аксессуары</t>
  </si>
  <si>
    <t>Interface MK3-USB (VE.Bus to USB)</t>
  </si>
  <si>
    <t>VE.Direct Bluetooth Smart dongle</t>
  </si>
  <si>
    <t>VE.Direct Cable 1,8m</t>
  </si>
  <si>
    <t>RJ45 UTP Cable 1,8 m</t>
  </si>
  <si>
    <t>Оборудование VICTRON (автономные системы)</t>
  </si>
  <si>
    <t>Оборудование Goodwee (сетевые системы)</t>
  </si>
  <si>
    <t>Инвертор GW1000-NS</t>
  </si>
  <si>
    <t>Инвертор GW3000NS</t>
  </si>
  <si>
    <t>Инвертор GW5000D-NS</t>
  </si>
  <si>
    <t>Инвертор GW10KN-DT</t>
  </si>
  <si>
    <t>Инвертор GW15KN-DT</t>
  </si>
  <si>
    <t>Оборудование свинцово-кислотные АКБ</t>
  </si>
  <si>
    <t>Оборудование литий-ионные АКБ BYD</t>
  </si>
  <si>
    <t xml:space="preserve">BYD Battery-Box  10.0 </t>
  </si>
  <si>
    <t xml:space="preserve">BYD Battery-Box  13.8 </t>
  </si>
  <si>
    <t>Статус (уточнить у деп.закупки)</t>
  </si>
  <si>
    <t>Комплектующие, кабельно-проводниковая продукция, коммутационное оборудование</t>
  </si>
  <si>
    <t>ГРЩ</t>
  </si>
  <si>
    <t>на стадии заключения договора. поставка 28.02.</t>
  </si>
  <si>
    <t>Упаковка</t>
  </si>
  <si>
    <t>Разработка решения. Выбор поставщика после заключения последнего договора на оборудование</t>
  </si>
  <si>
    <t>OEM ФЭМ</t>
  </si>
  <si>
    <t>400 кВт</t>
  </si>
  <si>
    <t>Выбор поставщика. Поставка на склад 01.06</t>
  </si>
  <si>
    <t>Монокристаллические ФЭМ PERC 310-330 Вт</t>
  </si>
  <si>
    <t>Обвязка (провода) сечение 2,5 мм</t>
  </si>
  <si>
    <t>MC 4 коннекторы, пара</t>
  </si>
  <si>
    <t>3000 м</t>
  </si>
  <si>
    <t xml:space="preserve">Комплекты для розницы </t>
  </si>
  <si>
    <t>50 кВт</t>
  </si>
  <si>
    <t>Поставщик определен.
Дата заключения договора 31.01. Поставка на склад Хевел 28.02</t>
  </si>
  <si>
    <t>Монокристаллические ФЭМ 100 Вт</t>
  </si>
  <si>
    <t>Комплект А2</t>
  </si>
  <si>
    <t>Комплект А3</t>
  </si>
  <si>
    <t>Комплект А4</t>
  </si>
  <si>
    <t>Комплект А5</t>
  </si>
  <si>
    <t>Комплект А6</t>
  </si>
  <si>
    <t>Комплект С1</t>
  </si>
  <si>
    <t>Комплект С2</t>
  </si>
  <si>
    <t>Комплект С3</t>
  </si>
  <si>
    <t>Комплект А4 (альтернатива)</t>
  </si>
  <si>
    <t>Комплект А6 (альтернатива)</t>
  </si>
  <si>
    <t>Согласовать передачу от АСТ</t>
  </si>
  <si>
    <t>Комплект  (альтернатива)</t>
  </si>
  <si>
    <t>Договор заключен.
Размещен заказ, ожидается отгрузка 25.01.2019
Поставка на склад Хевел 20.02.2019</t>
  </si>
  <si>
    <t>Выбор поставщика.
Поставка на склад Хевел 15.03</t>
  </si>
  <si>
    <t>Поставщик определен.
Плановая дата заключения договора с BYD 31.01.2019
Поставка на склад Хевел 15.03</t>
  </si>
  <si>
    <t>Выбор поставщика. Поставка на склад 15.03</t>
  </si>
  <si>
    <t>Выбор поставщика. поставка 15.03.</t>
  </si>
  <si>
    <t>Комплект С4</t>
  </si>
  <si>
    <t>Комплект С5</t>
  </si>
  <si>
    <t>Поставщик</t>
  </si>
  <si>
    <t xml:space="preserve">Наименование товара </t>
  </si>
  <si>
    <t xml:space="preserve">Условное обозначение </t>
  </si>
  <si>
    <t xml:space="preserve">Коли-
чество </t>
  </si>
  <si>
    <t xml:space="preserve">Цена </t>
  </si>
  <si>
    <t>Стоимость товаров  без налога - всего</t>
  </si>
  <si>
    <t>Налоговая ставка</t>
  </si>
  <si>
    <t>Сумма налога</t>
  </si>
  <si>
    <t>Стоимость товаров  с налогом - всего</t>
  </si>
  <si>
    <t>Стоимость всего товара без НДС</t>
  </si>
  <si>
    <t>Цена за ед.товара + доставка + НДС</t>
  </si>
  <si>
    <t>Процент наценки за доставку</t>
  </si>
  <si>
    <t>Расходы на доставку</t>
  </si>
  <si>
    <t>ООО Мега Групп</t>
  </si>
  <si>
    <t>0020082 Распределительное устройство AlpenBox (РЩ комплект С1)</t>
  </si>
  <si>
    <t>0020083 Распределительное устройство AlpenBox (РЩ комплект С2)</t>
  </si>
  <si>
    <t>0020084 Распределительное устройство AlpenBox (РЩ комплект С3)</t>
  </si>
  <si>
    <t>0020085 Распределительное устройство AlpenBox (РЩ комплект С4)</t>
  </si>
  <si>
    <t>0020086 Распределительное устройство AlpenBox (РЩ комплект С5)</t>
  </si>
  <si>
    <t>5601004.NR500 TOPSOLAR PV H1Z2Z2-K 1X4 (черный) 1.5/1.5 kVdc nXs mm2 EN50618 Кабель гибкий износостойкий для фотогальванических электрических модулей и установок Top Cable</t>
  </si>
  <si>
    <t>5601004.RR500 TOPSOLAR PV H1Z2Z2-K 1X4 (красный) 1.5/1.5 kVdc nXs mm2 EN50618 Кабель гибкий износостойкий для фотогальванических электрических модулей и установок Top Cable</t>
  </si>
  <si>
    <t>131N002MR100 TOPFLEX V-K H07V-K 1*2.5 Провод монтажный гибкий черный Top Cable</t>
  </si>
  <si>
    <t>131R002MR100 TOPFLEX V-K H07V-K 1*2.5 Провод монтажный гибкий красный Top Cable</t>
  </si>
  <si>
    <t>131N006.R100 TOPFLEX V-K H07V-K 1*6 Провод монтажный гибкий черный Top Cable</t>
  </si>
  <si>
    <t>131R006.R100 TOPFLEX V-K H07V-K 1*6 Провод монтажный гибкий красный Top Cable</t>
  </si>
  <si>
    <t>131N016.R100 TOPFLEX V-K H07V-K 1*16 Провод монтажный гибкий черный Top Cable</t>
  </si>
  <si>
    <t>131R016.R100 TOPFLEX V-K H07V-K 1*16 Провод монтажный гибкий красный Top Cable</t>
  </si>
  <si>
    <t>131N025.R100 TOPFLEX V-K H07V-K 1*25 Провод монтажный гибкий черный Top Cable</t>
  </si>
  <si>
    <t>131R025.R100 TOPFLEX V-K H07V-K 1*25 Провод монтажный гибкий красный Top Cable</t>
  </si>
  <si>
    <t>131N035 TOPFLEX V-K H07V-K 1*35 Провод монтажный гибкий черный Top Cable</t>
  </si>
  <si>
    <t>131R035 TOPFLEX V-K H07V-K 1*35 Провод монтажный гибкий красный Top Cable</t>
  </si>
  <si>
    <t>131N050 TOPFLEX V-K H07V-K 1*50 Провод монтажный гибкий черный Top Cable</t>
  </si>
  <si>
    <t>131R050 TOPFLEX V-K H07V-K 1*50  Провод монтажный гибкий красный Top Cable</t>
  </si>
  <si>
    <t>131N070 TOPFLEX V-K H07V-K 1*70 Провод монтажный гибкий черный Top Cable</t>
  </si>
  <si>
    <t>3003002M XTREM H07RN-F 0,6/1 kV 3G2.5 Кабель силовой гибкий с резиновой изоляцией Top Cable</t>
  </si>
  <si>
    <t>3003004G XTREM H07RN-F/DN-F 0,6/1 kV 3G4 Кабель силовой гибкий с резиновой изоляцией Top Cable</t>
  </si>
  <si>
    <t>3003006G XTREM H07RN-F 0,6/1 kV 3G6 Кабель силовой гибкий с резиновой изоляцией Top Cable</t>
  </si>
  <si>
    <t>3005006 XTREM H07RN-F 0,6/1kV 5G6 Кабель силовой гибкий с резиновой изоляцией Top Cable</t>
  </si>
  <si>
    <t>3005010 XTREM H07RN-F 0,6/1kV 5G10 Кабель силовой гибкий с резиновой изоляцией Top Cable</t>
  </si>
  <si>
    <t>Ultracell</t>
  </si>
  <si>
    <t>Батарея свинцово-кислотная 12В/100Ah</t>
  </si>
  <si>
    <t>шт.</t>
  </si>
  <si>
    <t>Батарея свинцово-кислотная 12В/150Ah</t>
  </si>
  <si>
    <t>Батарея свинцово-кислотная 12В/200Ah</t>
  </si>
  <si>
    <t>Батарея свинцово-кислотная 12В/55Ah</t>
  </si>
  <si>
    <t>GoodWe</t>
  </si>
  <si>
    <t>Децентрализованный инвертор GW1000-NS</t>
  </si>
  <si>
    <t>Децентрализованный инвертор GW15KN-DT</t>
  </si>
  <si>
    <t>Децентрализованный инвертор GW3000-NS</t>
  </si>
  <si>
    <t>Децентрализованный инвертор GW5000D-NS</t>
  </si>
  <si>
    <t>Децентрализованный инвертор GW8000-DT</t>
  </si>
  <si>
    <t>Комплект х10 Профнастил ХMR-VI-02</t>
  </si>
  <si>
    <t>Комплект х10 Фальц</t>
  </si>
  <si>
    <t>Комплект х18 Профнастил ХMR-VI-02</t>
  </si>
  <si>
    <t>Комплект х18 Фальц</t>
  </si>
  <si>
    <t>Комплект х2 Профнастил MR-VI-02</t>
  </si>
  <si>
    <t>Комплект х2 Фальц</t>
  </si>
  <si>
    <t>Комплект х34 Профнастил ХMR-VI-02</t>
  </si>
  <si>
    <t>Комплект х34 Фальц</t>
  </si>
  <si>
    <t>Комплект х4 Профнастил MR-VI-02</t>
  </si>
  <si>
    <t>Комплект х4 Фальц</t>
  </si>
  <si>
    <t>Комплект х51 Профнастил ХMR-VI-02</t>
  </si>
  <si>
    <t>Комплект х51 Фальц</t>
  </si>
  <si>
    <t>Комплект х6 Профнастил MR-VI-02</t>
  </si>
  <si>
    <t>Комплект х6 Фальц</t>
  </si>
  <si>
    <t>Комплект х8 Профнастил MR-VI-02</t>
  </si>
  <si>
    <t>Комплект х8 Фальц</t>
  </si>
  <si>
    <t xml:space="preserve">Контроллер заряда JUTA DY1024DU LED USB-выход 10A (12B, 24B) </t>
  </si>
  <si>
    <t xml:space="preserve">Контроллер заряда JUTA DY2024DU LED USB-выход 20A (12B, 24B) </t>
  </si>
  <si>
    <t>Полка 600*600</t>
  </si>
  <si>
    <t>10 комплектов</t>
  </si>
  <si>
    <t>Регулируемая опора</t>
  </si>
  <si>
    <t>Стойка 600 (2 мм)</t>
  </si>
  <si>
    <t>Уголок оцинкованный</t>
  </si>
  <si>
    <t>Усилитель полки 600</t>
  </si>
  <si>
    <t>Инвертор Multi 12/500/20-16 230V</t>
  </si>
  <si>
    <t>Инвертор MultiPlus 24/1200/25-16 230V VE.Bus</t>
  </si>
  <si>
    <t>Инвертор MultiPlus 48/3000/35-50 230V VE.Bus</t>
  </si>
  <si>
    <t>Инвертор MultiPlus Compact 24/2000/50-30  230V VE.Bus</t>
  </si>
  <si>
    <t>Инвертор Phoenix Inverter 12/250 230V VE.Direct SCHUKO</t>
  </si>
  <si>
    <t>Инвертор Quattro 48/10000/140-100/100 230V VE.Bus</t>
  </si>
  <si>
    <t>Инвертор Quattro 48/15000/200-100/100 230V VE.Bus</t>
  </si>
  <si>
    <t>Интерфейс MK3-USB (VE.Bus to USB)</t>
  </si>
  <si>
    <t>Кабель VE.Direct 1,8m</t>
  </si>
  <si>
    <t>Контроллер заряда BlueSolar MPPT 150/70 CAN-bus</t>
  </si>
  <si>
    <t>Контроллер заряда BlueSolar MPPT 150/85 CAN-bus</t>
  </si>
  <si>
    <t>Контроллер заряда SmartSolar MPPT 100/20 Retail</t>
  </si>
  <si>
    <t>Контроллер заряда SmartSolar MPPT 100/50</t>
  </si>
  <si>
    <t>Контроллер заряда SmartSolar MPPT 150/60-MC4</t>
  </si>
  <si>
    <t>Контроллер заряда SmartSolar MPPT 250/60-MC4</t>
  </si>
  <si>
    <t>Многофункциональное инверторное оборудование EasySolar 24/1600/40-16 230V MPPT 100/50</t>
  </si>
  <si>
    <t>Многофункциональное инверторное оборудование EasySolar 48/3000/35-50 МРРТ 150/70 Color Control</t>
  </si>
  <si>
    <t>Многофункциональное инверторное оборудование EasySolar 48/5000/70-100 МРРТ 150/100 Color Control</t>
  </si>
  <si>
    <t>Панель управления и мониторинга системы Venus GX</t>
  </si>
  <si>
    <t>Приставка VE.Direct BlueTooth Smart dongle</t>
  </si>
  <si>
    <t>Сетевой кабель RJ45 UTP 1,8m</t>
  </si>
  <si>
    <t>Контракт</t>
  </si>
  <si>
    <t>Экспедитор</t>
  </si>
  <si>
    <t>Назначение платежа</t>
  </si>
  <si>
    <t>Описание груза</t>
  </si>
  <si>
    <t>Количество мест</t>
  </si>
  <si>
    <t>Вес груза</t>
  </si>
  <si>
    <t>№ Счета</t>
  </si>
  <si>
    <t>Дата счета</t>
  </si>
  <si>
    <t xml:space="preserve">Сумма счета, вкл НДС </t>
  </si>
  <si>
    <t xml:space="preserve">Сумма счета, без НДС </t>
  </si>
  <si>
    <t>Спэйрс</t>
  </si>
  <si>
    <t>МиМ</t>
  </si>
  <si>
    <t>Авто</t>
  </si>
  <si>
    <t>Крышные крпеления</t>
  </si>
  <si>
    <t>ТорнадоЛого</t>
  </si>
  <si>
    <t>Скотч</t>
  </si>
  <si>
    <t>Метстелаж</t>
  </si>
  <si>
    <t>Стелажи</t>
  </si>
  <si>
    <t>Мега Групп</t>
  </si>
  <si>
    <t>Распределительные щиты</t>
  </si>
  <si>
    <t>Обеспечительный платёж</t>
  </si>
  <si>
    <t>АКБ</t>
  </si>
  <si>
    <t>Пошлина</t>
  </si>
  <si>
    <t>НДС</t>
  </si>
  <si>
    <t xml:space="preserve">ТО </t>
  </si>
  <si>
    <t>Victron</t>
  </si>
  <si>
    <t>Инверторы</t>
  </si>
  <si>
    <t>РФ</t>
  </si>
  <si>
    <t xml:space="preserve">Обеспечительный платёж </t>
  </si>
  <si>
    <t>Авиа</t>
  </si>
  <si>
    <t>Разъем гнездовой МС4, PV-KBT4/6ll-UR</t>
  </si>
  <si>
    <t>Разъем штекерный МС4, PV-KST4/6ll-UR</t>
  </si>
  <si>
    <t>Наконечник кольцевой НКИ 2.5- 6 синий</t>
  </si>
  <si>
    <t>Штойбли</t>
  </si>
  <si>
    <t>Разветвитель  гнездовой PV-AZB4 МС4</t>
  </si>
  <si>
    <t xml:space="preserve">Разветвитель штекерный PV-AZS4 MC4 </t>
  </si>
  <si>
    <t>Наконечник ТМЛ 16-8-6 луженый</t>
  </si>
  <si>
    <t>Наконечник ТМЛ 25-8-7 луженый</t>
  </si>
  <si>
    <t>Наконечник ТМЛ 35- 8-9 луженый</t>
  </si>
  <si>
    <t>Наконечник ТМЛ 50- 8-11 луженый</t>
  </si>
  <si>
    <t>Наконечник медный луженый ТМЛ 70-10-13</t>
  </si>
  <si>
    <t>0020077 Распределительное устройство AlpenBox (РЩ комплект А2)</t>
  </si>
  <si>
    <t>0020078 Распределительное устройство AlpenBox (РЩ комплект А3)</t>
  </si>
  <si>
    <t>0020079 Распределительное устройство AlpenBox (РЩ комплект А4)</t>
  </si>
  <si>
    <t>0020080 Распределительное устройство AlpenBox (РЩ комплект А5)</t>
  </si>
  <si>
    <t>0020081 Распределительное устройство AlpenBox (РЩ комплект А6)</t>
  </si>
  <si>
    <t>ИТОГО, руб.</t>
  </si>
  <si>
    <t>Розничная Цена без НДС, руб.</t>
  </si>
  <si>
    <t>ИТОГО, руб. без НДС</t>
  </si>
  <si>
    <t xml:space="preserve"> х1 Профнастил ХMR-VI-02</t>
  </si>
  <si>
    <t>Базовый</t>
  </si>
  <si>
    <t>Оптимальный</t>
  </si>
  <si>
    <t>Премиум</t>
  </si>
  <si>
    <t xml:space="preserve">Скидка на оборудование </t>
  </si>
  <si>
    <t>Скидка на металлоконструкции</t>
  </si>
  <si>
    <t>Себестоимость Базовый,           руб без НДС</t>
  </si>
  <si>
    <t>Себестоимость Оптимум,           руб без НДС</t>
  </si>
  <si>
    <t>Себестоимость Премиум,           руб без НДС</t>
  </si>
  <si>
    <t>Комплект в розничных ценах без НДС, руб.</t>
  </si>
  <si>
    <t>Базовый Комплект, руб без НДС</t>
  </si>
  <si>
    <t>Оптимум Комплект, руб без НДС</t>
  </si>
  <si>
    <t>Премиум Комплект, руб без НДС</t>
  </si>
  <si>
    <t>Упаковка 1</t>
  </si>
  <si>
    <t>Маржа ХРТ (вал)</t>
  </si>
  <si>
    <t>Доставка</t>
  </si>
  <si>
    <t>Скидка на доставку</t>
  </si>
  <si>
    <t>РРЦ Расчетная, руб с НДС</t>
  </si>
  <si>
    <t>Скидка на модули</t>
  </si>
  <si>
    <t>Комплект А1</t>
  </si>
  <si>
    <t>Пог.м</t>
  </si>
  <si>
    <t>Цена</t>
  </si>
  <si>
    <t>Итог, с НДС</t>
  </si>
  <si>
    <t>Паллетный борт</t>
  </si>
  <si>
    <t>Скотч+пвх пленка</t>
  </si>
  <si>
    <t>Метизы+скобы</t>
  </si>
  <si>
    <t>П/п лента+скобы</t>
  </si>
  <si>
    <t>Стрейч</t>
  </si>
  <si>
    <t>Гофрокороб 1725*1060*608</t>
  </si>
  <si>
    <t>Поддон</t>
  </si>
  <si>
    <t>Гофрокороб 1725*1060*890</t>
  </si>
  <si>
    <t>Итог</t>
  </si>
  <si>
    <t>Гофрокороб 1725*1060*1360</t>
  </si>
  <si>
    <t>на 2-х поддонах х2</t>
  </si>
  <si>
    <t>x2</t>
  </si>
  <si>
    <t>Гофрокороб 1725*1060*1477</t>
  </si>
  <si>
    <t>х2</t>
  </si>
  <si>
    <t>Модуль фотоэлектрический HVL 280</t>
  </si>
  <si>
    <t>РРЦ Текущая, руб с НДС</t>
  </si>
  <si>
    <t>Старана происхождения</t>
  </si>
  <si>
    <t>Хевел, РФ</t>
  </si>
  <si>
    <t>Dyness, КНР</t>
  </si>
  <si>
    <t>Deye, КНР</t>
  </si>
  <si>
    <t>Longi, КНР</t>
  </si>
  <si>
    <t>Модуль фотоэлектрический HVL 144 НС GG-01 435 Вт</t>
  </si>
  <si>
    <t>Модуль фотоэлектрический HVL 144 НС GG-01 440 Вт</t>
  </si>
  <si>
    <t>Модуль фотоэлектрический HVL 144 НС GG-01 445 Вт</t>
  </si>
  <si>
    <t>Модуль фотоэлектрический HVL 144 НС GG-01 450 Вт</t>
  </si>
  <si>
    <t>Модуль фотоэлектрический HVL 144 НС GG-01 455 Вт</t>
  </si>
  <si>
    <t>(руб)</t>
  </si>
  <si>
    <t>Энерговольт, РФ</t>
  </si>
  <si>
    <t>Солнечные трекеры</t>
  </si>
  <si>
    <t>UST-AADAT</t>
  </si>
  <si>
    <t>UST-VSAT</t>
  </si>
  <si>
    <t>UST-HSAT</t>
  </si>
  <si>
    <t>UST-PASAT</t>
  </si>
  <si>
    <t xml:space="preserve">Контроллер для управления солнечным трекером UST-C7 </t>
  </si>
  <si>
    <t xml:space="preserve">Шкаф управления солнечным трекером UST-DR-002 </t>
  </si>
  <si>
    <t>Шкаф управления солнечным трекером UST-DR-003</t>
  </si>
  <si>
    <t>Цена (руб.)</t>
  </si>
  <si>
    <t>ИСТОЧНИКИ БЕСПЕРЕБОЙНОГО ПИТАНИЯ</t>
  </si>
  <si>
    <t>5 кВт(1 фаза) 4,8 кВт*ч (48В 100Ач)</t>
  </si>
  <si>
    <t>5 кВт(1 фаза) 9,6 кВт*ч (48В 200Ач)</t>
  </si>
  <si>
    <t>8 кВт(1 фаза) 9,6 кВт*ч (48В 200Ач)</t>
  </si>
  <si>
    <t xml:space="preserve">8 кВт(3 фазы) 9,6 кВт*ч (48В 200Ач) </t>
  </si>
  <si>
    <t>12 кВт(3 фазы) 14,4 кВт*ч (48В 300Ач)</t>
  </si>
  <si>
    <t>12 кВт(3 фазы) 19,2 кВт*ч (48В 400Ач)</t>
  </si>
  <si>
    <t>15 кВт(1 фаза) 14,4 кВт*ч (48В 300Ач)</t>
  </si>
  <si>
    <t>15 кВт(1 фаза) 19,2 кВт*ч (48В 400Ач)</t>
  </si>
  <si>
    <t>15 кВт(3 фазы) 14,4 кВт*ч (48В 300Ач)</t>
  </si>
  <si>
    <t>15 кВт(3 фазы) 19,2 кВт*ч (48В 400Ач)</t>
  </si>
  <si>
    <t>24 кВт(3 фазы) 19,2 кВт*ч (48В 400Ач)</t>
  </si>
  <si>
    <t>24 кВт(3 фазы) 24 кВт*ч (48В 500Ач)</t>
  </si>
  <si>
    <t>24 кВт(3 фазы) 28,8 кВт*ч (48В 600Ач)</t>
  </si>
  <si>
    <t>36 кВт(3 фазы) 38,4 кВт*ч (48В 800Ач)</t>
  </si>
  <si>
    <t>36 кВт(3 фазы) 48,0 кВт*ч (48В 1000Ач)</t>
  </si>
  <si>
    <t>Deye, Dyness, КНР</t>
  </si>
  <si>
    <t xml:space="preserve">Deye, Dyness, КНР </t>
  </si>
  <si>
    <t xml:space="preserve">Модуль фотоэлектрический HVL- 66 GBS 290 Вт </t>
  </si>
  <si>
    <t xml:space="preserve">Модуль фотоэлектрический HVL- 66 GBS 295 Вт </t>
  </si>
  <si>
    <t>Модуль фотоэлектрический HVL- 66 GBS 300 Вт</t>
  </si>
  <si>
    <t xml:space="preserve">Модуль фотоэлектрический HVL- 66 GBS 305 Вт </t>
  </si>
  <si>
    <r>
      <t>Модуль фотоэлектрический HVL- 66 GBS 310 Вт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</si>
  <si>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Модуль фотоэлектрический HVL- 66 GBS 315 Вт</t>
  </si>
  <si>
    <t xml:space="preserve">Модуль фотоэлектрический HVL- 66 GBS 320 Вт </t>
  </si>
  <si>
    <t xml:space="preserve">Модуль фотоэлектрический HVL- 66 GBS 335 Вт </t>
  </si>
  <si>
    <t xml:space="preserve">Модуль фотоэлектрический HVL- 66 GBS 340 Вт </t>
  </si>
  <si>
    <t>Модуль фотоэлектрический HVL- 66 GBS 345 Вт</t>
  </si>
  <si>
    <t xml:space="preserve">Модуль фотоэлектрический HVL- 66 GBS 350 Вт </t>
  </si>
  <si>
    <t xml:space="preserve">Модуль фотоэлектрический HVL- 66 GBS 355 Вт </t>
  </si>
  <si>
    <t xml:space="preserve">Модуль фотоэлектрический HVL- 66 GBS 360 Вт </t>
  </si>
  <si>
    <t xml:space="preserve">Модуль фотоэлектрический HVL 72 GG 360 Вт </t>
  </si>
  <si>
    <t xml:space="preserve">Модуль фотоэлектрический HVL 72 GG 365 Вт </t>
  </si>
  <si>
    <t xml:space="preserve">Модуль фотоэлектрический HVL 72 GG 370 Вт </t>
  </si>
  <si>
    <t xml:space="preserve">Модуль фотоэлектрический HVL 72 GG 375 Вт </t>
  </si>
  <si>
    <t xml:space="preserve">Модуль фотоэлектрический HVL 72 GG 380 Вт </t>
  </si>
  <si>
    <t xml:space="preserve">Модуль фотоэлектрический HVL 72 GG 385 Вт </t>
  </si>
  <si>
    <t xml:space="preserve">Модуль фотоэлектрический HVL 72 GG 390 Вт </t>
  </si>
  <si>
    <t xml:space="preserve">Модуль фотоэлектрический HVL 72 GG 395 Вт </t>
  </si>
  <si>
    <t>Модуль фотоэлектрический HVL 144 MBB M10 GG 05, Вт 540 Топкон</t>
  </si>
  <si>
    <t>Модуль фотоэлектрический HVL 144 MBB M10 GG 05, Вт 545 Топкон</t>
  </si>
  <si>
    <t>Модуль фотоэлектрический HVL 144 MBB M10 GG 05, Вт 550 Топкон</t>
  </si>
  <si>
    <t>Модуль фотоэлектрический HVL 144 MBB M10 GG 05, Вт 555 Топкон</t>
  </si>
  <si>
    <t>Модуль фотоэлектрический HVL 144 MBB M10 GG 05, Вт 560 Топкон</t>
  </si>
  <si>
    <t>Модуль фотоэлектрический HVL 144 MBB M10 GG 05, Вт 565 Топкон</t>
  </si>
  <si>
    <t>Модуль фотоэлектрический HVL 144 MBB M10 GG 05, Вт 570 Топкон</t>
  </si>
  <si>
    <t>Фотоэлектрические фасадные модули (BIPV) тип А, габариты ФЭМ 2134х1052х5,6, до 440 Вт</t>
  </si>
  <si>
    <t>Фотоэлектрические фасадные модули (BIPV) тип B, габариты ФЭМ 2134х1052х5,6, до 440 Вт</t>
  </si>
  <si>
    <t>Фотоэлектрические фасадные модули (BIPV) тип C, габариты ФЭМ 2134х1052х9,6, от 220 до 380 Вт (зависит от цвета по системе RAL)</t>
  </si>
  <si>
    <t>Сетевой инвертор  Deye SUN-5K-G06PЗ-EU-BM2-P1</t>
  </si>
  <si>
    <t>Сетевой инвертор Deye SUN-10K-G06PЗ-EU-BM2-P1</t>
  </si>
  <si>
    <t>Сетевой инверторDeye SUN-15K-G03</t>
  </si>
  <si>
    <t>Сетевой инвертор Deye SUN-15K-G06P3-EU-BM2-P1</t>
  </si>
  <si>
    <t>Сетевой инвертор Deye SUN-20K-G06P3-BM2-P1</t>
  </si>
  <si>
    <t>Сетевой инвертор Deye SUN-25K-G05</t>
  </si>
  <si>
    <t>Сетевой инвертор Deye  SUN-30K-G04</t>
  </si>
  <si>
    <t xml:space="preserve">Сетевой инвертор Deye SUN-75K-G03 </t>
  </si>
  <si>
    <r>
      <t>Гибридный инвертор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DEYE SUN-3,6K-SG05LP1-EU + TT</t>
    </r>
  </si>
  <si>
    <t>Инвертор гибридный DEYE SUN-15K-SG05LP3-EU-SM2</t>
  </si>
  <si>
    <t>Инвертор гибридный DEYE SUN-20K-SG05LP3-EU-SM2</t>
  </si>
  <si>
    <t>Модуль фотоэлектрический Longi HI-MO 6 -435 Вт</t>
  </si>
  <si>
    <t>Модуль фотоэлектрический Longi HI-MO 5 -555M</t>
  </si>
  <si>
    <t xml:space="preserve">Сетевой инвертор Deye SUN-100K-G03 </t>
  </si>
  <si>
    <t xml:space="preserve">Сетевой инвертор Deye SUN-50K-G04 </t>
  </si>
  <si>
    <t xml:space="preserve">Сетевой инвертор Deye SUN-5K-G05P1-EU-AM2 </t>
  </si>
  <si>
    <t xml:space="preserve">Гибридный инвертор DEYE SUN-5K-SG05LP1-EU + TT </t>
  </si>
  <si>
    <t xml:space="preserve">Гибридный инвертор DEYE SUN-8K-SG01LP1-EU + TT </t>
  </si>
  <si>
    <t>Гибридный инвертор Deye SUN-12K-SG04LP3-EU + ТТ</t>
  </si>
  <si>
    <t>Сетевые инверторы</t>
  </si>
  <si>
    <t>Гибридные инверторы</t>
  </si>
  <si>
    <t>LV</t>
  </si>
  <si>
    <t xml:space="preserve">Батарея литий-железо-фосфатная Powerbox-10/48V200Ah 9.6kWh </t>
  </si>
  <si>
    <t>Батарея литий-железо-фосфатная Dyness B3 NEW 48V75Ah 3.6kWh</t>
  </si>
  <si>
    <t xml:space="preserve">Кронштейн батареи для Dyness DL5.0C c DС-шинами </t>
  </si>
  <si>
    <t>HV</t>
  </si>
  <si>
    <t>Батарея литий-железо-фосфатная Dyness HV51100 51.2V100Ah</t>
  </si>
  <si>
    <t>Блок управления для HV51100</t>
  </si>
  <si>
    <t>Шкаф батарейный HV4 (11s)</t>
  </si>
  <si>
    <t>Дополнительный блок управления BMS для HV4</t>
  </si>
  <si>
    <t>Кабельно-проводниковая продукция</t>
  </si>
  <si>
    <t xml:space="preserve">Кабель OLFLEX SOLAR XLS-R 1X4 WH/BK ( бухты по 500 м), м </t>
  </si>
  <si>
    <t xml:space="preserve">Кабель OLFLEX SOLAR XLS-R 1X4 WH/RD  ( бухты по 500 м), м </t>
  </si>
  <si>
    <t>OLFLEX, Испания</t>
  </si>
  <si>
    <r>
      <t>Батарея литий-железо-фосфатная Dyness DL5.0C 51.2V100Ah 5.12kWh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</si>
  <si>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Модуль фотоэлектрический Longi 645 (LR7-72HVH 645M)</t>
  </si>
  <si>
    <t>Модуль фотоэлектрический Longi 650 (LR7-72HVH 650M)</t>
  </si>
  <si>
    <t>Модуль фотоэлектрический Longi 645 (LR8-66HVD 645M)</t>
  </si>
  <si>
    <t>Модуль фотоэлектрический Jinko 465 (JKM465N-48HL4M-DV-Z4-EU)</t>
  </si>
  <si>
    <t xml:space="preserve"> Jinko, КНР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</si>
</sst>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&quot;р.&quot;_-;\-* #,##0.00&quot;р.&quot;_-;_-* &quot;-&quot;??&quot;р.&quot;_-;_-@_-"/>
    <numFmt numFmtId="167" formatCode="_-[$€-2]\ * #,##0.00_-;\-[$€-2]\ * #,##0.00_-;_-[$€-2]\ * &quot;-&quot;??_-;_-@_-"/>
    <numFmt numFmtId="168" formatCode="_-* #,##0.00[$р.-419]_-;\-* #,##0.00[$р.-419]_-;_-* &quot;-&quot;??[$р.-419]_-;_-@_-"/>
    <numFmt numFmtId="169" formatCode="_-* #,##0.00\ [$₽-419]_-;\-* #,##0.00\ [$₽-419]_-;_-* &quot;-&quot;??\ [$₽-419]_-;_-@_-"/>
    <numFmt numFmtId="170" formatCode="_-* #,##0.00\ [$р.-423]_-;\-* #,##0.00\ [$р.-423]_-;_-* &quot;-&quot;??\ [$р.-423]_-;_-@_-"/>
    <numFmt numFmtId="171" formatCode="_-[$$-409]* #,##0.00_ ;_-[$$-409]* \-#,##0.00\ ;_-[$$-409]* &quot;-&quot;??_ ;_-@_ "/>
    <numFmt numFmtId="172" formatCode="_-[$$-85D]* #,##0.00_ ;_-[$$-85D]* \-#,##0.00\ ;_-[$$-85D]* &quot;-&quot;??_ ;_-@_ "/>
    <numFmt numFmtId="173" formatCode="_-* #,##0.00\ &quot;р.&quot;_-;\-* #,##0.00\ &quot;р.&quot;_-;_-* &quot;-&quot;??\ &quot;р.&quot;_-;_-@_-"/>
    <numFmt numFmtId="174" formatCode="_-* #,##0[$р.-419]_-;\-* #,##0[$р.-419]_-;_-* &quot;-&quot;??[$р.-419]_-;_-@_-"/>
    <numFmt numFmtId="175" formatCode="_-* #,##0.00\ [$р.-419]_-;\-* #,##0.00\ [$р.-419]_-;_-* &quot;-&quot;??\ [$р.-419]_-;_-@_-"/>
    <numFmt numFmtId="176" formatCode="0.0"/>
    <numFmt numFmtId="177" formatCode="_-* #,##0\ _₽_-;\-* #,##0\ _₽_-;_-* &quot;-&quot;??\ _₽_-;_-@_-"/>
    <numFmt numFmtId="178" formatCode="#,##0.00\ _₽"/>
    <numFmt numFmtId="179" formatCode="0.0%"/>
    <numFmt numFmtId="180" formatCode="#,##0.00_ ;\-#,##0.00\ 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FF0000"/>
      <name val="Arial Narrow"/>
      <family val="2"/>
      <charset val="204"/>
    </font>
    <font>
      <b/>
      <sz val="12"/>
      <color rgb="FFFF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0" tint="-0.34998626667073579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theme="0" tint="-0.34998626667073579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color rgb="FF1F497D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6" tint="0.7999816888943144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6" tint="0.79998168889431442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6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55" fillId="0" borderId="0"/>
    <xf numFmtId="0" fontId="4" fillId="0" borderId="0"/>
    <xf numFmtId="9" fontId="56" fillId="0" borderId="0" applyFont="0" applyFill="0" applyBorder="0" applyAlignment="0" applyProtection="0"/>
  </cellStyleXfs>
  <cellXfs count="6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5" fillId="2" borderId="15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/>
    </xf>
    <xf numFmtId="0" fontId="26" fillId="2" borderId="20" xfId="0" applyFont="1" applyFill="1" applyBorder="1" applyAlignment="1">
      <alignment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vertical="center"/>
    </xf>
    <xf numFmtId="0" fontId="28" fillId="2" borderId="20" xfId="0" applyFont="1" applyFill="1" applyBorder="1" applyAlignment="1">
      <alignment vertical="center"/>
    </xf>
    <xf numFmtId="0" fontId="29" fillId="0" borderId="0" xfId="4"/>
    <xf numFmtId="0" fontId="29" fillId="0" borderId="0" xfId="4" applyAlignment="1">
      <alignment vertical="center"/>
    </xf>
    <xf numFmtId="0" fontId="29" fillId="0" borderId="0" xfId="4" applyAlignment="1">
      <alignment horizontal="center" vertical="center"/>
    </xf>
    <xf numFmtId="0" fontId="29" fillId="0" borderId="1" xfId="4" applyBorder="1" applyAlignment="1">
      <alignment vertical="center"/>
    </xf>
    <xf numFmtId="166" fontId="29" fillId="0" borderId="0" xfId="4" applyNumberFormat="1" applyAlignment="1">
      <alignment vertical="center"/>
    </xf>
    <xf numFmtId="0" fontId="19" fillId="0" borderId="0" xfId="4" applyFont="1" applyAlignment="1">
      <alignment horizontal="left" vertical="center"/>
    </xf>
    <xf numFmtId="0" fontId="33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29" fillId="0" borderId="0" xfId="4" applyAlignment="1">
      <alignment horizontal="center" vertical="center" wrapText="1"/>
    </xf>
    <xf numFmtId="0" fontId="19" fillId="0" borderId="3" xfId="4" applyFont="1" applyBorder="1" applyAlignment="1">
      <alignment vertical="center"/>
    </xf>
    <xf numFmtId="0" fontId="30" fillId="4" borderId="27" xfId="4" applyFont="1" applyFill="1" applyBorder="1" applyAlignment="1">
      <alignment horizontal="center" vertical="center"/>
    </xf>
    <xf numFmtId="0" fontId="19" fillId="4" borderId="28" xfId="4" applyFont="1" applyFill="1" applyBorder="1" applyAlignment="1">
      <alignment horizontal="center" vertical="center"/>
    </xf>
    <xf numFmtId="0" fontId="19" fillId="4" borderId="28" xfId="4" applyFont="1" applyFill="1" applyBorder="1" applyAlignment="1">
      <alignment horizontal="center" vertical="center" wrapText="1"/>
    </xf>
    <xf numFmtId="0" fontId="19" fillId="4" borderId="29" xfId="4" applyFont="1" applyFill="1" applyBorder="1" applyAlignment="1">
      <alignment horizontal="center" vertical="center"/>
    </xf>
    <xf numFmtId="0" fontId="19" fillId="4" borderId="29" xfId="4" applyFont="1" applyFill="1" applyBorder="1" applyAlignment="1">
      <alignment horizontal="center" vertical="center" wrapText="1"/>
    </xf>
    <xf numFmtId="0" fontId="19" fillId="4" borderId="30" xfId="4" applyFont="1" applyFill="1" applyBorder="1" applyAlignment="1">
      <alignment horizontal="center" vertical="center" wrapText="1"/>
    </xf>
    <xf numFmtId="0" fontId="19" fillId="4" borderId="31" xfId="4" applyFont="1" applyFill="1" applyBorder="1" applyAlignment="1">
      <alignment horizontal="center" vertical="center" wrapText="1"/>
    </xf>
    <xf numFmtId="0" fontId="29" fillId="4" borderId="3" xfId="4" applyFill="1" applyBorder="1" applyAlignment="1">
      <alignment vertical="center"/>
    </xf>
    <xf numFmtId="0" fontId="29" fillId="0" borderId="19" xfId="4" applyBorder="1" applyAlignment="1">
      <alignment vertical="center"/>
    </xf>
    <xf numFmtId="0" fontId="29" fillId="0" borderId="1" xfId="4" applyBorder="1" applyAlignment="1">
      <alignment horizontal="center" vertical="center"/>
    </xf>
    <xf numFmtId="0" fontId="29" fillId="0" borderId="32" xfId="4" applyBorder="1" applyAlignment="1">
      <alignment vertical="center"/>
    </xf>
    <xf numFmtId="0" fontId="29" fillId="0" borderId="17" xfId="4" applyBorder="1" applyAlignment="1">
      <alignment horizontal="center" vertical="center"/>
    </xf>
    <xf numFmtId="1" fontId="29" fillId="0" borderId="17" xfId="4" applyNumberFormat="1" applyBorder="1" applyAlignment="1">
      <alignment horizontal="center" vertical="center"/>
    </xf>
    <xf numFmtId="166" fontId="29" fillId="0" borderId="17" xfId="6" applyFont="1" applyBorder="1" applyAlignment="1">
      <alignment horizontal="center" vertical="center"/>
    </xf>
    <xf numFmtId="167" fontId="29" fillId="0" borderId="17" xfId="5" applyNumberFormat="1" applyFont="1" applyBorder="1" applyAlignment="1">
      <alignment vertical="center"/>
    </xf>
    <xf numFmtId="166" fontId="29" fillId="0" borderId="19" xfId="6" applyFont="1" applyBorder="1" applyAlignment="1">
      <alignment vertical="center"/>
    </xf>
    <xf numFmtId="0" fontId="29" fillId="0" borderId="33" xfId="4" applyBorder="1" applyAlignment="1">
      <alignment vertical="center"/>
    </xf>
    <xf numFmtId="1" fontId="29" fillId="0" borderId="1" xfId="4" applyNumberFormat="1" applyBorder="1" applyAlignment="1">
      <alignment horizontal="center" vertical="center"/>
    </xf>
    <xf numFmtId="168" fontId="29" fillId="0" borderId="1" xfId="6" applyNumberFormat="1" applyFont="1" applyBorder="1" applyAlignment="1">
      <alignment vertical="center"/>
    </xf>
    <xf numFmtId="166" fontId="29" fillId="0" borderId="1" xfId="6" applyFont="1" applyBorder="1" applyAlignment="1">
      <alignment horizontal="center" vertical="center"/>
    </xf>
    <xf numFmtId="167" fontId="29" fillId="0" borderId="1" xfId="5" applyNumberFormat="1" applyFont="1" applyBorder="1" applyAlignment="1">
      <alignment vertical="center"/>
    </xf>
    <xf numFmtId="168" fontId="29" fillId="0" borderId="3" xfId="4" applyNumberFormat="1" applyBorder="1" applyAlignment="1">
      <alignment vertical="center"/>
    </xf>
    <xf numFmtId="166" fontId="29" fillId="0" borderId="0" xfId="6" applyFont="1" applyAlignment="1">
      <alignment vertical="center"/>
    </xf>
    <xf numFmtId="0" fontId="29" fillId="0" borderId="34" xfId="4" applyBorder="1" applyAlignment="1">
      <alignment vertical="center"/>
    </xf>
    <xf numFmtId="1" fontId="29" fillId="0" borderId="4" xfId="4" applyNumberFormat="1" applyBorder="1" applyAlignment="1">
      <alignment horizontal="center" vertical="center"/>
    </xf>
    <xf numFmtId="166" fontId="29" fillId="0" borderId="4" xfId="6" applyFont="1" applyBorder="1" applyAlignment="1">
      <alignment horizontal="center" vertical="center"/>
    </xf>
    <xf numFmtId="167" fontId="29" fillId="0" borderId="4" xfId="5" applyNumberFormat="1" applyFont="1" applyBorder="1" applyAlignment="1">
      <alignment vertical="center"/>
    </xf>
    <xf numFmtId="0" fontId="19" fillId="0" borderId="6" xfId="4" applyFont="1" applyBorder="1" applyAlignment="1">
      <alignment horizontal="center" vertical="center"/>
    </xf>
    <xf numFmtId="1" fontId="29" fillId="0" borderId="6" xfId="4" applyNumberFormat="1" applyBorder="1" applyAlignment="1">
      <alignment horizontal="center" vertical="center"/>
    </xf>
    <xf numFmtId="166" fontId="29" fillId="0" borderId="6" xfId="6" applyFont="1" applyBorder="1" applyAlignment="1">
      <alignment horizontal="center" vertical="center"/>
    </xf>
    <xf numFmtId="167" fontId="29" fillId="0" borderId="7" xfId="5" applyNumberFormat="1" applyFont="1" applyBorder="1" applyAlignment="1">
      <alignment vertical="center"/>
    </xf>
    <xf numFmtId="165" fontId="29" fillId="0" borderId="1" xfId="4" applyNumberFormat="1" applyBorder="1" applyAlignment="1">
      <alignment vertical="center"/>
    </xf>
    <xf numFmtId="0" fontId="19" fillId="0" borderId="11" xfId="4" applyFont="1" applyBorder="1" applyAlignment="1">
      <alignment horizontal="center" vertical="center"/>
    </xf>
    <xf numFmtId="9" fontId="29" fillId="0" borderId="11" xfId="5" applyFont="1" applyBorder="1" applyAlignment="1">
      <alignment vertical="center"/>
    </xf>
    <xf numFmtId="166" fontId="29" fillId="0" borderId="11" xfId="6" applyFont="1" applyBorder="1" applyAlignment="1">
      <alignment vertical="center"/>
    </xf>
    <xf numFmtId="166" fontId="29" fillId="0" borderId="11" xfId="6" applyFont="1" applyBorder="1" applyAlignment="1">
      <alignment horizontal="center" vertical="center"/>
    </xf>
    <xf numFmtId="167" fontId="29" fillId="0" borderId="12" xfId="5" applyNumberFormat="1" applyFont="1" applyBorder="1" applyAlignment="1">
      <alignment vertical="center"/>
    </xf>
    <xf numFmtId="167" fontId="19" fillId="0" borderId="0" xfId="5" applyNumberFormat="1" applyFont="1" applyBorder="1" applyAlignment="1">
      <alignment horizontal="center" vertical="center"/>
    </xf>
    <xf numFmtId="0" fontId="19" fillId="4" borderId="8" xfId="4" applyFont="1" applyFill="1" applyBorder="1" applyAlignment="1">
      <alignment vertical="center"/>
    </xf>
    <xf numFmtId="9" fontId="29" fillId="0" borderId="1" xfId="5" applyFont="1" applyBorder="1" applyAlignment="1">
      <alignment vertical="center"/>
    </xf>
    <xf numFmtId="168" fontId="19" fillId="0" borderId="1" xfId="5" applyNumberFormat="1" applyFont="1" applyBorder="1" applyAlignment="1">
      <alignment horizontal="center" vertical="center"/>
    </xf>
    <xf numFmtId="0" fontId="19" fillId="4" borderId="10" xfId="4" applyFont="1" applyFill="1" applyBorder="1" applyAlignment="1">
      <alignment vertical="center" wrapText="1"/>
    </xf>
    <xf numFmtId="0" fontId="29" fillId="0" borderId="11" xfId="4" applyBorder="1" applyAlignment="1">
      <alignment horizontal="center" vertical="center"/>
    </xf>
    <xf numFmtId="0" fontId="29" fillId="0" borderId="11" xfId="4" applyBorder="1" applyAlignment="1">
      <alignment vertical="center"/>
    </xf>
    <xf numFmtId="168" fontId="19" fillId="0" borderId="11" xfId="5" applyNumberFormat="1" applyFont="1" applyBorder="1" applyAlignment="1">
      <alignment horizontal="center" vertical="center"/>
    </xf>
    <xf numFmtId="169" fontId="19" fillId="0" borderId="0" xfId="5" applyNumberFormat="1" applyFont="1" applyBorder="1" applyAlignment="1">
      <alignment horizontal="center" vertical="center"/>
    </xf>
    <xf numFmtId="4" fontId="29" fillId="0" borderId="0" xfId="4" applyNumberFormat="1" applyAlignment="1">
      <alignment vertical="center"/>
    </xf>
    <xf numFmtId="170" fontId="29" fillId="0" borderId="0" xfId="4" applyNumberFormat="1" applyAlignment="1">
      <alignment vertical="center"/>
    </xf>
    <xf numFmtId="16" fontId="29" fillId="0" borderId="0" xfId="4" applyNumberFormat="1" applyAlignment="1">
      <alignment horizontal="center" vertical="center"/>
    </xf>
    <xf numFmtId="17" fontId="29" fillId="0" borderId="0" xfId="4" applyNumberFormat="1" applyAlignment="1">
      <alignment vertical="center"/>
    </xf>
    <xf numFmtId="16" fontId="29" fillId="0" borderId="0" xfId="4" applyNumberFormat="1" applyAlignment="1">
      <alignment vertical="center"/>
    </xf>
    <xf numFmtId="0" fontId="19" fillId="0" borderId="1" xfId="4" applyFont="1" applyBorder="1" applyAlignment="1">
      <alignment horizontal="center" vertical="center"/>
    </xf>
    <xf numFmtId="0" fontId="29" fillId="0" borderId="4" xfId="4" applyBorder="1" applyAlignment="1">
      <alignment horizontal="center" vertical="center"/>
    </xf>
    <xf numFmtId="0" fontId="19" fillId="0" borderId="5" xfId="4" applyFont="1" applyBorder="1" applyAlignment="1">
      <alignment vertical="center"/>
    </xf>
    <xf numFmtId="165" fontId="29" fillId="0" borderId="6" xfId="4" applyNumberFormat="1" applyBorder="1" applyAlignment="1">
      <alignment vertical="center"/>
    </xf>
    <xf numFmtId="0" fontId="19" fillId="0" borderId="8" xfId="4" applyFont="1" applyBorder="1" applyAlignment="1">
      <alignment vertical="center"/>
    </xf>
    <xf numFmtId="0" fontId="19" fillId="0" borderId="10" xfId="4" applyFont="1" applyBorder="1" applyAlignment="1">
      <alignment vertical="center"/>
    </xf>
    <xf numFmtId="167" fontId="29" fillId="0" borderId="9" xfId="5" applyNumberFormat="1" applyFont="1" applyBorder="1" applyAlignment="1">
      <alignment vertical="center"/>
    </xf>
    <xf numFmtId="171" fontId="29" fillId="0" borderId="17" xfId="5" applyNumberFormat="1" applyFont="1" applyBorder="1" applyAlignment="1">
      <alignment vertical="center"/>
    </xf>
    <xf numFmtId="0" fontId="35" fillId="0" borderId="1" xfId="4" applyFont="1" applyBorder="1" applyAlignment="1">
      <alignment horizontal="center" vertical="center"/>
    </xf>
    <xf numFmtId="0" fontId="35" fillId="0" borderId="33" xfId="4" applyFont="1" applyBorder="1" applyAlignment="1">
      <alignment vertical="center"/>
    </xf>
    <xf numFmtId="0" fontId="35" fillId="0" borderId="17" xfId="4" applyFont="1" applyBorder="1" applyAlignment="1">
      <alignment horizontal="center" vertical="center"/>
    </xf>
    <xf numFmtId="1" fontId="35" fillId="0" borderId="1" xfId="4" applyNumberFormat="1" applyFont="1" applyBorder="1" applyAlignment="1">
      <alignment horizontal="center" vertical="center"/>
    </xf>
    <xf numFmtId="168" fontId="35" fillId="0" borderId="1" xfId="6" applyNumberFormat="1" applyFont="1" applyBorder="1" applyAlignment="1">
      <alignment vertical="center"/>
    </xf>
    <xf numFmtId="166" fontId="35" fillId="0" borderId="1" xfId="6" applyFont="1" applyBorder="1" applyAlignment="1">
      <alignment horizontal="center" vertical="center"/>
    </xf>
    <xf numFmtId="171" fontId="35" fillId="0" borderId="17" xfId="5" applyNumberFormat="1" applyFont="1" applyBorder="1" applyAlignment="1">
      <alignment vertical="center"/>
    </xf>
    <xf numFmtId="0" fontId="35" fillId="0" borderId="0" xfId="4" applyFont="1"/>
    <xf numFmtId="171" fontId="29" fillId="0" borderId="2" xfId="5" applyNumberFormat="1" applyFont="1" applyBorder="1" applyAlignment="1">
      <alignment vertical="center"/>
    </xf>
    <xf numFmtId="171" fontId="29" fillId="0" borderId="1" xfId="5" applyNumberFormat="1" applyFont="1" applyBorder="1" applyAlignment="1">
      <alignment vertical="center"/>
    </xf>
    <xf numFmtId="171" fontId="29" fillId="0" borderId="6" xfId="5" applyNumberFormat="1" applyFont="1" applyBorder="1" applyAlignment="1">
      <alignment vertical="center"/>
    </xf>
    <xf numFmtId="171" fontId="29" fillId="0" borderId="11" xfId="5" applyNumberFormat="1" applyFont="1" applyBorder="1" applyAlignment="1">
      <alignment vertical="center"/>
    </xf>
    <xf numFmtId="0" fontId="19" fillId="4" borderId="5" xfId="4" applyFont="1" applyFill="1" applyBorder="1" applyAlignment="1">
      <alignment vertical="center"/>
    </xf>
    <xf numFmtId="0" fontId="29" fillId="0" borderId="6" xfId="4" applyBorder="1" applyAlignment="1">
      <alignment horizontal="center" vertical="center"/>
    </xf>
    <xf numFmtId="0" fontId="29" fillId="0" borderId="6" xfId="4" applyBorder="1" applyAlignment="1">
      <alignment vertical="center"/>
    </xf>
    <xf numFmtId="168" fontId="19" fillId="0" borderId="6" xfId="5" applyNumberFormat="1" applyFont="1" applyBorder="1" applyAlignment="1">
      <alignment horizontal="center" vertical="center"/>
    </xf>
    <xf numFmtId="171" fontId="29" fillId="0" borderId="7" xfId="5" applyNumberFormat="1" applyFont="1" applyBorder="1" applyAlignment="1">
      <alignment vertical="center"/>
    </xf>
    <xf numFmtId="171" fontId="29" fillId="0" borderId="18" xfId="5" applyNumberFormat="1" applyFont="1" applyBorder="1" applyAlignment="1">
      <alignment vertical="center"/>
    </xf>
    <xf numFmtId="171" fontId="29" fillId="0" borderId="39" xfId="5" applyNumberFormat="1" applyFont="1" applyBorder="1" applyAlignment="1">
      <alignment vertical="center"/>
    </xf>
    <xf numFmtId="0" fontId="29" fillId="4" borderId="0" xfId="4" applyFill="1" applyAlignment="1">
      <alignment vertical="center"/>
    </xf>
    <xf numFmtId="168" fontId="29" fillId="0" borderId="0" xfId="4" applyNumberFormat="1" applyAlignment="1">
      <alignment vertical="center"/>
    </xf>
    <xf numFmtId="0" fontId="3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0" fillId="4" borderId="27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/>
    </xf>
    <xf numFmtId="165" fontId="0" fillId="0" borderId="19" xfId="0" applyNumberFormat="1" applyBorder="1" applyAlignment="1">
      <alignment vertical="center"/>
    </xf>
    <xf numFmtId="0" fontId="29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44" fontId="18" fillId="0" borderId="6" xfId="2" applyFont="1" applyBorder="1" applyAlignment="1">
      <alignment vertical="center"/>
    </xf>
    <xf numFmtId="44" fontId="0" fillId="0" borderId="6" xfId="2" applyFont="1" applyBorder="1" applyAlignment="1">
      <alignment horizontal="center" vertical="center"/>
    </xf>
    <xf numFmtId="172" fontId="0" fillId="0" borderId="6" xfId="3" applyNumberFormat="1" applyFont="1" applyBorder="1" applyAlignment="1">
      <alignment vertical="center"/>
    </xf>
    <xf numFmtId="167" fontId="0" fillId="0" borderId="7" xfId="3" applyNumberFormat="1" applyFont="1" applyBorder="1" applyAlignment="1">
      <alignment vertical="center"/>
    </xf>
    <xf numFmtId="44" fontId="0" fillId="0" borderId="19" xfId="2" applyFont="1" applyBorder="1" applyAlignment="1">
      <alignment vertical="center"/>
    </xf>
    <xf numFmtId="0" fontId="29" fillId="0" borderId="8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168" fontId="0" fillId="0" borderId="1" xfId="2" applyNumberFormat="1" applyFont="1" applyBorder="1" applyAlignment="1">
      <alignment vertical="center"/>
    </xf>
    <xf numFmtId="44" fontId="0" fillId="0" borderId="1" xfId="2" applyFont="1" applyBorder="1" applyAlignment="1">
      <alignment horizontal="center" vertical="center"/>
    </xf>
    <xf numFmtId="172" fontId="0" fillId="0" borderId="1" xfId="3" applyNumberFormat="1" applyFont="1" applyBorder="1" applyAlignment="1">
      <alignment vertical="center"/>
    </xf>
    <xf numFmtId="167" fontId="0" fillId="0" borderId="9" xfId="3" applyNumberFormat="1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44" fontId="0" fillId="0" borderId="0" xfId="2" applyFont="1" applyAlignment="1">
      <alignment vertical="center"/>
    </xf>
    <xf numFmtId="173" fontId="0" fillId="0" borderId="1" xfId="0" applyNumberFormat="1" applyBorder="1" applyAlignment="1">
      <alignment vertical="center"/>
    </xf>
    <xf numFmtId="172" fontId="0" fillId="0" borderId="1" xfId="3" applyNumberFormat="1" applyFont="1" applyFill="1" applyBorder="1" applyAlignment="1">
      <alignment vertical="center"/>
    </xf>
    <xf numFmtId="44" fontId="0" fillId="0" borderId="0" xfId="0" applyNumberFormat="1" applyAlignment="1">
      <alignment vertical="center"/>
    </xf>
    <xf numFmtId="0" fontId="0" fillId="3" borderId="1" xfId="0" applyFill="1" applyBorder="1"/>
    <xf numFmtId="0" fontId="0" fillId="0" borderId="1" xfId="0" applyBorder="1"/>
    <xf numFmtId="44" fontId="37" fillId="0" borderId="1" xfId="2" applyFont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4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44" fontId="37" fillId="0" borderId="4" xfId="2" applyFont="1" applyBorder="1" applyAlignment="1">
      <alignment vertical="center"/>
    </xf>
    <xf numFmtId="0" fontId="19" fillId="5" borderId="6" xfId="0" applyFont="1" applyFill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44" fontId="0" fillId="3" borderId="6" xfId="2" applyFont="1" applyFill="1" applyBorder="1" applyAlignment="1">
      <alignment vertical="center"/>
    </xf>
    <xf numFmtId="44" fontId="0" fillId="5" borderId="6" xfId="2" applyFont="1" applyFill="1" applyBorder="1" applyAlignment="1">
      <alignment horizontal="center" vertical="center"/>
    </xf>
    <xf numFmtId="172" fontId="0" fillId="5" borderId="6" xfId="3" applyNumberFormat="1" applyFont="1" applyFill="1" applyBorder="1" applyAlignment="1">
      <alignment vertical="center"/>
    </xf>
    <xf numFmtId="167" fontId="0" fillId="5" borderId="7" xfId="3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19" fillId="5" borderId="1" xfId="0" applyFont="1" applyFill="1" applyBorder="1" applyAlignment="1">
      <alignment vertical="center"/>
    </xf>
    <xf numFmtId="0" fontId="19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4" fontId="0" fillId="5" borderId="1" xfId="2" applyFont="1" applyFill="1" applyBorder="1" applyAlignment="1">
      <alignment vertical="center"/>
    </xf>
    <xf numFmtId="44" fontId="0" fillId="5" borderId="1" xfId="2" applyFont="1" applyFill="1" applyBorder="1" applyAlignment="1">
      <alignment horizontal="center" vertical="center"/>
    </xf>
    <xf numFmtId="172" fontId="0" fillId="5" borderId="1" xfId="3" applyNumberFormat="1" applyFont="1" applyFill="1" applyBorder="1" applyAlignment="1">
      <alignment vertical="center"/>
    </xf>
    <xf numFmtId="167" fontId="0" fillId="5" borderId="9" xfId="3" applyNumberFormat="1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44" fontId="0" fillId="0" borderId="1" xfId="2" applyFont="1" applyFill="1" applyBorder="1" applyAlignment="1">
      <alignment vertical="center"/>
    </xf>
    <xf numFmtId="44" fontId="37" fillId="3" borderId="1" xfId="2" applyFont="1" applyFill="1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44" fontId="0" fillId="0" borderId="1" xfId="2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9" fontId="0" fillId="0" borderId="11" xfId="3" applyFont="1" applyBorder="1" applyAlignment="1">
      <alignment vertical="center"/>
    </xf>
    <xf numFmtId="44" fontId="0" fillId="0" borderId="11" xfId="2" applyFont="1" applyBorder="1" applyAlignment="1">
      <alignment vertical="center"/>
    </xf>
    <xf numFmtId="44" fontId="0" fillId="0" borderId="11" xfId="2" applyFont="1" applyBorder="1" applyAlignment="1">
      <alignment horizontal="center" vertical="center"/>
    </xf>
    <xf numFmtId="172" fontId="0" fillId="0" borderId="11" xfId="3" applyNumberFormat="1" applyFont="1" applyBorder="1" applyAlignment="1">
      <alignment vertical="center"/>
    </xf>
    <xf numFmtId="167" fontId="0" fillId="0" borderId="12" xfId="3" applyNumberFormat="1" applyFont="1" applyBorder="1" applyAlignment="1">
      <alignment vertical="center"/>
    </xf>
    <xf numFmtId="0" fontId="19" fillId="4" borderId="16" xfId="0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9" fontId="0" fillId="0" borderId="17" xfId="3" applyFont="1" applyBorder="1" applyAlignment="1">
      <alignment vertical="center"/>
    </xf>
    <xf numFmtId="0" fontId="0" fillId="0" borderId="17" xfId="0" applyBorder="1" applyAlignment="1">
      <alignment vertical="center"/>
    </xf>
    <xf numFmtId="168" fontId="19" fillId="0" borderId="17" xfId="3" applyNumberFormat="1" applyFont="1" applyBorder="1" applyAlignment="1">
      <alignment horizontal="center" vertical="center"/>
    </xf>
    <xf numFmtId="172" fontId="0" fillId="0" borderId="17" xfId="3" applyNumberFormat="1" applyFont="1" applyBorder="1" applyAlignment="1">
      <alignment vertical="center"/>
    </xf>
    <xf numFmtId="167" fontId="19" fillId="0" borderId="0" xfId="3" applyNumberFormat="1" applyFont="1" applyBorder="1" applyAlignment="1">
      <alignment horizontal="center" vertical="center"/>
    </xf>
    <xf numFmtId="0" fontId="19" fillId="4" borderId="8" xfId="0" applyFont="1" applyFill="1" applyBorder="1" applyAlignment="1">
      <alignment vertical="center"/>
    </xf>
    <xf numFmtId="9" fontId="0" fillId="3" borderId="1" xfId="3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8" fontId="19" fillId="0" borderId="1" xfId="3" applyNumberFormat="1" applyFont="1" applyBorder="1" applyAlignment="1">
      <alignment horizontal="center" vertical="center"/>
    </xf>
    <xf numFmtId="9" fontId="0" fillId="0" borderId="1" xfId="3" applyFont="1" applyBorder="1" applyAlignment="1">
      <alignment vertical="center"/>
    </xf>
    <xf numFmtId="0" fontId="19" fillId="4" borderId="10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68" fontId="19" fillId="0" borderId="11" xfId="3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19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174" fontId="34" fillId="0" borderId="0" xfId="3" applyNumberFormat="1" applyFont="1" applyBorder="1" applyAlignment="1">
      <alignment horizontal="center" vertical="center"/>
    </xf>
    <xf numFmtId="175" fontId="0" fillId="0" borderId="0" xfId="0" applyNumberFormat="1" applyAlignment="1">
      <alignment vertical="center"/>
    </xf>
    <xf numFmtId="9" fontId="34" fillId="0" borderId="0" xfId="3" applyFont="1" applyBorder="1" applyAlignment="1">
      <alignment horizontal="center" vertical="center"/>
    </xf>
    <xf numFmtId="0" fontId="0" fillId="7" borderId="13" xfId="0" applyFill="1" applyBorder="1" applyAlignment="1">
      <alignment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vertical="center"/>
    </xf>
    <xf numFmtId="0" fontId="0" fillId="7" borderId="14" xfId="0" applyFill="1" applyBorder="1" applyAlignment="1">
      <alignment horizontal="center" vertical="center"/>
    </xf>
    <xf numFmtId="0" fontId="15" fillId="0" borderId="0" xfId="8" applyAlignment="1">
      <alignment vertical="center"/>
    </xf>
    <xf numFmtId="0" fontId="19" fillId="0" borderId="4" xfId="8" applyFont="1" applyBorder="1" applyAlignment="1">
      <alignment vertical="center"/>
    </xf>
    <xf numFmtId="0" fontId="15" fillId="0" borderId="0" xfId="8" applyAlignment="1">
      <alignment horizontal="center" vertical="center"/>
    </xf>
    <xf numFmtId="0" fontId="15" fillId="0" borderId="0" xfId="8" applyAlignment="1">
      <alignment vertical="center" wrapText="1"/>
    </xf>
    <xf numFmtId="0" fontId="38" fillId="0" borderId="1" xfId="8" applyFont="1" applyBorder="1" applyAlignment="1">
      <alignment vertical="center"/>
    </xf>
    <xf numFmtId="0" fontId="39" fillId="3" borderId="1" xfId="8" applyFont="1" applyFill="1" applyBorder="1" applyAlignment="1">
      <alignment vertical="center"/>
    </xf>
    <xf numFmtId="0" fontId="39" fillId="0" borderId="1" xfId="8" applyFont="1" applyBorder="1" applyAlignment="1">
      <alignment vertical="center"/>
    </xf>
    <xf numFmtId="0" fontId="38" fillId="0" borderId="17" xfId="8" applyFont="1" applyBorder="1" applyAlignment="1">
      <alignment vertical="center"/>
    </xf>
    <xf numFmtId="0" fontId="40" fillId="0" borderId="0" xfId="8" applyFont="1" applyAlignment="1">
      <alignment vertical="center"/>
    </xf>
    <xf numFmtId="0" fontId="40" fillId="0" borderId="0" xfId="8" applyFont="1" applyAlignment="1">
      <alignment horizontal="center" vertical="center" wrapText="1"/>
    </xf>
    <xf numFmtId="0" fontId="39" fillId="7" borderId="1" xfId="8" applyFont="1" applyFill="1" applyBorder="1" applyAlignment="1">
      <alignment vertical="center"/>
    </xf>
    <xf numFmtId="0" fontId="41" fillId="0" borderId="3" xfId="8" applyFont="1" applyBorder="1" applyAlignment="1">
      <alignment horizontal="center" vertical="center" wrapText="1"/>
    </xf>
    <xf numFmtId="0" fontId="39" fillId="6" borderId="1" xfId="8" applyFont="1" applyFill="1" applyBorder="1" applyAlignment="1">
      <alignment vertical="center"/>
    </xf>
    <xf numFmtId="0" fontId="38" fillId="0" borderId="0" xfId="8" applyFont="1" applyAlignment="1">
      <alignment vertical="center"/>
    </xf>
    <xf numFmtId="0" fontId="41" fillId="0" borderId="0" xfId="8" applyFont="1" applyAlignment="1">
      <alignment vertical="center"/>
    </xf>
    <xf numFmtId="0" fontId="38" fillId="0" borderId="1" xfId="8" applyFont="1" applyBorder="1" applyAlignment="1">
      <alignment horizontal="left" vertical="center"/>
    </xf>
    <xf numFmtId="0" fontId="42" fillId="0" borderId="0" xfId="8" applyFont="1" applyAlignment="1">
      <alignment vertical="center"/>
    </xf>
    <xf numFmtId="0" fontId="42" fillId="0" borderId="0" xfId="8" applyFont="1" applyAlignment="1">
      <alignment vertical="center" wrapText="1"/>
    </xf>
    <xf numFmtId="0" fontId="15" fillId="0" borderId="0" xfId="8" applyAlignment="1">
      <alignment horizontal="center" vertical="center" wrapText="1"/>
    </xf>
    <xf numFmtId="0" fontId="39" fillId="0" borderId="1" xfId="8" applyFont="1" applyBorder="1" applyAlignment="1">
      <alignment horizontal="center" vertical="center"/>
    </xf>
    <xf numFmtId="0" fontId="39" fillId="0" borderId="1" xfId="8" applyFont="1" applyBorder="1" applyAlignment="1">
      <alignment horizontal="center" vertical="center" wrapText="1"/>
    </xf>
    <xf numFmtId="0" fontId="15" fillId="0" borderId="1" xfId="8" applyBorder="1" applyAlignment="1">
      <alignment vertical="center"/>
    </xf>
    <xf numFmtId="0" fontId="38" fillId="0" borderId="1" xfId="8" applyFont="1" applyBorder="1" applyAlignment="1">
      <alignment horizontal="center" vertical="center"/>
    </xf>
    <xf numFmtId="176" fontId="38" fillId="0" borderId="1" xfId="8" applyNumberFormat="1" applyFont="1" applyBorder="1" applyAlignment="1">
      <alignment horizontal="center" vertical="center"/>
    </xf>
    <xf numFmtId="166" fontId="38" fillId="6" borderId="1" xfId="6" applyFont="1" applyFill="1" applyBorder="1" applyAlignment="1">
      <alignment vertical="center"/>
    </xf>
    <xf numFmtId="166" fontId="38" fillId="0" borderId="1" xfId="6" applyFont="1" applyFill="1" applyBorder="1" applyAlignment="1">
      <alignment horizontal="center" vertical="center"/>
    </xf>
    <xf numFmtId="167" fontId="38" fillId="0" borderId="1" xfId="5" applyNumberFormat="1" applyFont="1" applyFill="1" applyBorder="1" applyAlignment="1">
      <alignment vertical="center"/>
    </xf>
    <xf numFmtId="10" fontId="15" fillId="0" borderId="1" xfId="8" applyNumberFormat="1" applyBorder="1" applyAlignment="1">
      <alignment vertical="center"/>
    </xf>
    <xf numFmtId="166" fontId="0" fillId="6" borderId="1" xfId="6" applyFont="1" applyFill="1" applyBorder="1" applyAlignment="1">
      <alignment vertical="center"/>
    </xf>
    <xf numFmtId="0" fontId="42" fillId="0" borderId="0" xfId="8" applyFont="1" applyAlignment="1">
      <alignment horizontal="center" vertical="center"/>
    </xf>
    <xf numFmtId="166" fontId="42" fillId="0" borderId="0" xfId="8" applyNumberFormat="1" applyFont="1" applyAlignment="1">
      <alignment vertical="center"/>
    </xf>
    <xf numFmtId="10" fontId="42" fillId="0" borderId="0" xfId="8" applyNumberFormat="1" applyFont="1" applyAlignment="1">
      <alignment vertical="center"/>
    </xf>
    <xf numFmtId="177" fontId="15" fillId="0" borderId="0" xfId="8" applyNumberFormat="1" applyAlignment="1">
      <alignment vertical="center"/>
    </xf>
    <xf numFmtId="168" fontId="38" fillId="0" borderId="1" xfId="6" applyNumberFormat="1" applyFont="1" applyFill="1" applyBorder="1" applyAlignment="1">
      <alignment vertical="center"/>
    </xf>
    <xf numFmtId="168" fontId="15" fillId="6" borderId="1" xfId="8" applyNumberFormat="1" applyFill="1" applyBorder="1" applyAlignment="1">
      <alignment vertical="center"/>
    </xf>
    <xf numFmtId="1" fontId="38" fillId="0" borderId="1" xfId="8" applyNumberFormat="1" applyFont="1" applyBorder="1" applyAlignment="1">
      <alignment horizontal="center" vertical="center"/>
    </xf>
    <xf numFmtId="0" fontId="38" fillId="0" borderId="1" xfId="8" applyFont="1" applyBorder="1" applyAlignment="1">
      <alignment horizontal="left"/>
    </xf>
    <xf numFmtId="0" fontId="38" fillId="5" borderId="1" xfId="0" applyFont="1" applyFill="1" applyBorder="1" applyAlignment="1">
      <alignment horizontal="left" vertical="center"/>
    </xf>
    <xf numFmtId="1" fontId="38" fillId="0" borderId="1" xfId="0" applyNumberFormat="1" applyFont="1" applyBorder="1" applyAlignment="1">
      <alignment horizontal="center" vertical="center"/>
    </xf>
    <xf numFmtId="168" fontId="38" fillId="3" borderId="1" xfId="6" applyNumberFormat="1" applyFont="1" applyFill="1" applyBorder="1" applyAlignment="1">
      <alignment vertical="center"/>
    </xf>
    <xf numFmtId="44" fontId="15" fillId="0" borderId="0" xfId="8" applyNumberFormat="1" applyAlignment="1">
      <alignment vertical="center"/>
    </xf>
    <xf numFmtId="0" fontId="38" fillId="8" borderId="1" xfId="0" applyFont="1" applyFill="1" applyBorder="1" applyAlignment="1">
      <alignment horizontal="left" vertical="center" wrapText="1"/>
    </xf>
    <xf numFmtId="165" fontId="42" fillId="0" borderId="0" xfId="8" applyNumberFormat="1" applyFont="1" applyAlignment="1">
      <alignment vertical="center"/>
    </xf>
    <xf numFmtId="0" fontId="38" fillId="3" borderId="1" xfId="8" applyFont="1" applyFill="1" applyBorder="1" applyAlignment="1">
      <alignment vertical="center"/>
    </xf>
    <xf numFmtId="10" fontId="15" fillId="0" borderId="0" xfId="8" applyNumberFormat="1" applyAlignment="1">
      <alignment vertical="center"/>
    </xf>
    <xf numFmtId="0" fontId="38" fillId="9" borderId="1" xfId="8" applyFont="1" applyFill="1" applyBorder="1" applyAlignment="1">
      <alignment vertical="center"/>
    </xf>
    <xf numFmtId="1" fontId="38" fillId="10" borderId="1" xfId="8" applyNumberFormat="1" applyFont="1" applyFill="1" applyBorder="1" applyAlignment="1">
      <alignment horizontal="center" vertical="center"/>
    </xf>
    <xf numFmtId="166" fontId="38" fillId="0" borderId="1" xfId="6" applyFont="1" applyFill="1" applyBorder="1" applyAlignment="1"/>
    <xf numFmtId="165" fontId="15" fillId="0" borderId="0" xfId="8" applyNumberFormat="1" applyAlignment="1">
      <alignment vertical="center"/>
    </xf>
    <xf numFmtId="166" fontId="38" fillId="3" borderId="1" xfId="6" applyFont="1" applyFill="1" applyBorder="1" applyAlignment="1">
      <alignment vertical="center"/>
    </xf>
    <xf numFmtId="166" fontId="15" fillId="0" borderId="0" xfId="8" applyNumberFormat="1" applyAlignment="1">
      <alignment vertical="center"/>
    </xf>
    <xf numFmtId="2" fontId="29" fillId="0" borderId="0" xfId="8" applyNumberFormat="1" applyFont="1" applyAlignment="1">
      <alignment horizontal="right" vertical="center"/>
    </xf>
    <xf numFmtId="0" fontId="41" fillId="0" borderId="1" xfId="8" applyFont="1" applyBorder="1" applyAlignment="1">
      <alignment horizontal="center" vertical="center"/>
    </xf>
    <xf numFmtId="166" fontId="38" fillId="0" borderId="1" xfId="6" applyFont="1" applyFill="1" applyBorder="1" applyAlignment="1">
      <alignment vertical="center"/>
    </xf>
    <xf numFmtId="49" fontId="15" fillId="0" borderId="0" xfId="8" applyNumberFormat="1" applyAlignment="1">
      <alignment vertical="center"/>
    </xf>
    <xf numFmtId="0" fontId="39" fillId="0" borderId="1" xfId="8" applyFont="1" applyBorder="1" applyAlignment="1">
      <alignment horizontal="left" vertical="center"/>
    </xf>
    <xf numFmtId="1" fontId="38" fillId="0" borderId="1" xfId="8" applyNumberFormat="1" applyFont="1" applyBorder="1" applyAlignment="1">
      <alignment vertical="center"/>
    </xf>
    <xf numFmtId="166" fontId="38" fillId="10" borderId="1" xfId="6" applyFont="1" applyFill="1" applyBorder="1" applyAlignment="1">
      <alignment vertical="center"/>
    </xf>
    <xf numFmtId="166" fontId="43" fillId="0" borderId="0" xfId="8" applyNumberFormat="1" applyFont="1" applyAlignment="1">
      <alignment vertical="center"/>
    </xf>
    <xf numFmtId="49" fontId="43" fillId="0" borderId="0" xfId="8" applyNumberFormat="1" applyFont="1" applyAlignment="1">
      <alignment vertical="center"/>
    </xf>
    <xf numFmtId="49" fontId="15" fillId="0" borderId="0" xfId="8" applyNumberFormat="1" applyAlignment="1">
      <alignment vertical="center" wrapText="1"/>
    </xf>
    <xf numFmtId="2" fontId="29" fillId="0" borderId="0" xfId="8" applyNumberFormat="1" applyFont="1" applyAlignment="1">
      <alignment horizontal="right" vertical="center" wrapText="1"/>
    </xf>
    <xf numFmtId="0" fontId="39" fillId="0" borderId="1" xfId="8" applyFont="1" applyBorder="1" applyAlignment="1">
      <alignment horizontal="left" vertical="center" wrapText="1"/>
    </xf>
    <xf numFmtId="9" fontId="38" fillId="10" borderId="1" xfId="5" applyFont="1" applyFill="1" applyBorder="1" applyAlignment="1">
      <alignment vertical="center"/>
    </xf>
    <xf numFmtId="0" fontId="39" fillId="11" borderId="1" xfId="8" applyFont="1" applyFill="1" applyBorder="1" applyAlignment="1">
      <alignment horizontal="left" vertical="center"/>
    </xf>
    <xf numFmtId="0" fontId="39" fillId="11" borderId="1" xfId="8" applyFont="1" applyFill="1" applyBorder="1" applyAlignment="1">
      <alignment horizontal="center" vertical="center"/>
    </xf>
    <xf numFmtId="166" fontId="38" fillId="11" borderId="1" xfId="6" applyFont="1" applyFill="1" applyBorder="1" applyAlignment="1">
      <alignment vertical="center"/>
    </xf>
    <xf numFmtId="165" fontId="38" fillId="11" borderId="1" xfId="6" applyNumberFormat="1" applyFont="1" applyFill="1" applyBorder="1" applyAlignment="1">
      <alignment horizontal="center" vertical="center"/>
    </xf>
    <xf numFmtId="167" fontId="38" fillId="11" borderId="1" xfId="5" applyNumberFormat="1" applyFont="1" applyFill="1" applyBorder="1" applyAlignment="1">
      <alignment vertical="center"/>
    </xf>
    <xf numFmtId="0" fontId="44" fillId="0" borderId="0" xfId="8" applyFont="1"/>
    <xf numFmtId="168" fontId="39" fillId="7" borderId="1" xfId="5" applyNumberFormat="1" applyFont="1" applyFill="1" applyBorder="1" applyAlignment="1">
      <alignment horizontal="center" vertical="center"/>
    </xf>
    <xf numFmtId="167" fontId="39" fillId="0" borderId="1" xfId="5" applyNumberFormat="1" applyFont="1" applyFill="1" applyBorder="1" applyAlignment="1">
      <alignment horizontal="center" vertical="center"/>
    </xf>
    <xf numFmtId="9" fontId="38" fillId="3" borderId="1" xfId="5" applyFont="1" applyFill="1" applyBorder="1" applyAlignment="1">
      <alignment vertical="center"/>
    </xf>
    <xf numFmtId="168" fontId="39" fillId="0" borderId="1" xfId="5" applyNumberFormat="1" applyFont="1" applyFill="1" applyBorder="1" applyAlignment="1">
      <alignment horizontal="center" vertical="center"/>
    </xf>
    <xf numFmtId="9" fontId="38" fillId="0" borderId="1" xfId="5" applyFont="1" applyFill="1" applyBorder="1" applyAlignment="1">
      <alignment vertical="center"/>
    </xf>
    <xf numFmtId="168" fontId="39" fillId="6" borderId="1" xfId="5" applyNumberFormat="1" applyFont="1" applyFill="1" applyBorder="1" applyAlignment="1">
      <alignment horizontal="center" vertical="center"/>
    </xf>
    <xf numFmtId="2" fontId="30" fillId="0" borderId="0" xfId="8" applyNumberFormat="1" applyFont="1" applyAlignment="1">
      <alignment horizontal="right" vertical="center" wrapText="1"/>
    </xf>
    <xf numFmtId="0" fontId="29" fillId="0" borderId="0" xfId="8" applyFont="1" applyAlignment="1">
      <alignment vertical="center"/>
    </xf>
    <xf numFmtId="168" fontId="42" fillId="0" borderId="0" xfId="8" applyNumberFormat="1" applyFont="1" applyAlignment="1">
      <alignment vertical="center"/>
    </xf>
    <xf numFmtId="0" fontId="19" fillId="0" borderId="0" xfId="8" applyFont="1" applyAlignment="1">
      <alignment horizontal="left" vertical="center"/>
    </xf>
    <xf numFmtId="0" fontId="15" fillId="0" borderId="1" xfId="8" applyBorder="1" applyAlignment="1">
      <alignment horizontal="center" vertical="center"/>
    </xf>
    <xf numFmtId="168" fontId="15" fillId="0" borderId="0" xfId="8" applyNumberFormat="1" applyAlignment="1">
      <alignment vertical="center" wrapText="1"/>
    </xf>
    <xf numFmtId="168" fontId="45" fillId="0" borderId="0" xfId="8" applyNumberFormat="1" applyFont="1" applyAlignment="1">
      <alignment vertical="center"/>
    </xf>
    <xf numFmtId="0" fontId="30" fillId="0" borderId="44" xfId="8" applyFont="1" applyBorder="1" applyAlignment="1">
      <alignment horizontal="left" vertical="center"/>
    </xf>
    <xf numFmtId="0" fontId="15" fillId="0" borderId="22" xfId="8" applyBorder="1" applyAlignment="1">
      <alignment horizontal="center" vertical="center"/>
    </xf>
    <xf numFmtId="0" fontId="15" fillId="0" borderId="45" xfId="8" applyBorder="1" applyAlignment="1">
      <alignment vertical="center"/>
    </xf>
    <xf numFmtId="0" fontId="46" fillId="0" borderId="46" xfId="8" applyFont="1" applyBorder="1" applyAlignment="1">
      <alignment vertical="center"/>
    </xf>
    <xf numFmtId="0" fontId="15" fillId="0" borderId="37" xfId="8" applyBorder="1" applyAlignment="1">
      <alignment vertical="center"/>
    </xf>
    <xf numFmtId="0" fontId="15" fillId="0" borderId="8" xfId="8" applyBorder="1" applyAlignment="1">
      <alignment vertical="center"/>
    </xf>
    <xf numFmtId="0" fontId="15" fillId="0" borderId="9" xfId="8" applyBorder="1" applyAlignment="1">
      <alignment vertical="center"/>
    </xf>
    <xf numFmtId="0" fontId="30" fillId="0" borderId="8" xfId="8" applyFont="1" applyBorder="1" applyAlignment="1">
      <alignment horizontal="right" vertical="center"/>
    </xf>
    <xf numFmtId="0" fontId="30" fillId="0" borderId="1" xfId="8" applyFont="1" applyBorder="1" applyAlignment="1">
      <alignment horizontal="center" vertical="center"/>
    </xf>
    <xf numFmtId="0" fontId="30" fillId="0" borderId="9" xfId="8" applyFont="1" applyBorder="1" applyAlignment="1">
      <alignment vertical="center"/>
    </xf>
    <xf numFmtId="0" fontId="15" fillId="0" borderId="46" xfId="8" applyBorder="1" applyAlignment="1">
      <alignment vertical="center"/>
    </xf>
    <xf numFmtId="2" fontId="15" fillId="0" borderId="0" xfId="8" applyNumberFormat="1" applyAlignment="1">
      <alignment vertical="center"/>
    </xf>
    <xf numFmtId="0" fontId="29" fillId="12" borderId="8" xfId="8" applyFont="1" applyFill="1" applyBorder="1" applyAlignment="1">
      <alignment vertical="center"/>
    </xf>
    <xf numFmtId="0" fontId="29" fillId="0" borderId="8" xfId="8" applyFont="1" applyBorder="1" applyAlignment="1">
      <alignment vertical="center"/>
    </xf>
    <xf numFmtId="0" fontId="16" fillId="0" borderId="0" xfId="8" applyFont="1" applyAlignment="1">
      <alignment vertical="center" wrapText="1"/>
    </xf>
    <xf numFmtId="0" fontId="16" fillId="0" borderId="0" xfId="8" applyFont="1" applyAlignment="1">
      <alignment horizontal="right" vertical="center" wrapText="1"/>
    </xf>
    <xf numFmtId="0" fontId="15" fillId="0" borderId="2" xfId="8" applyBorder="1" applyAlignment="1">
      <alignment horizontal="center" vertical="center"/>
    </xf>
    <xf numFmtId="1" fontId="15" fillId="0" borderId="26" xfId="8" applyNumberFormat="1" applyBorder="1" applyAlignment="1">
      <alignment horizontal="right" vertical="center"/>
    </xf>
    <xf numFmtId="0" fontId="16" fillId="0" borderId="0" xfId="8" applyFont="1" applyAlignment="1">
      <alignment horizontal="center" vertical="center" wrapText="1"/>
    </xf>
    <xf numFmtId="1" fontId="15" fillId="0" borderId="40" xfId="8" applyNumberFormat="1" applyBorder="1" applyAlignment="1">
      <alignment vertical="center"/>
    </xf>
    <xf numFmtId="1" fontId="15" fillId="0" borderId="18" xfId="8" applyNumberFormat="1" applyBorder="1" applyAlignment="1">
      <alignment vertical="center"/>
    </xf>
    <xf numFmtId="0" fontId="15" fillId="0" borderId="38" xfId="8" applyBorder="1" applyAlignment="1">
      <alignment vertical="center"/>
    </xf>
    <xf numFmtId="0" fontId="15" fillId="0" borderId="26" xfId="8" applyBorder="1" applyAlignment="1">
      <alignment vertical="center"/>
    </xf>
    <xf numFmtId="0" fontId="30" fillId="0" borderId="10" xfId="8" applyFont="1" applyBorder="1" applyAlignment="1">
      <alignment horizontal="right" vertical="center"/>
    </xf>
    <xf numFmtId="0" fontId="30" fillId="0" borderId="11" xfId="8" applyFont="1" applyBorder="1" applyAlignment="1">
      <alignment horizontal="center" vertical="center"/>
    </xf>
    <xf numFmtId="0" fontId="30" fillId="0" borderId="12" xfId="8" applyFont="1" applyBorder="1" applyAlignment="1">
      <alignment vertical="center"/>
    </xf>
    <xf numFmtId="0" fontId="47" fillId="0" borderId="0" xfId="0" applyFont="1" applyAlignment="1">
      <alignment vertical="center"/>
    </xf>
    <xf numFmtId="165" fontId="29" fillId="0" borderId="0" xfId="1" applyFont="1" applyAlignment="1">
      <alignment horizontal="center" vertical="center"/>
    </xf>
    <xf numFmtId="165" fontId="15" fillId="0" borderId="0" xfId="8" applyNumberForma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4" fillId="13" borderId="20" xfId="0" applyFont="1" applyFill="1" applyBorder="1" applyAlignment="1">
      <alignment horizontal="center" vertical="center" wrapText="1"/>
    </xf>
    <xf numFmtId="0" fontId="23" fillId="13" borderId="20" xfId="0" applyFont="1" applyFill="1" applyBorder="1" applyAlignment="1">
      <alignment horizontal="center" vertical="center" wrapText="1"/>
    </xf>
    <xf numFmtId="0" fontId="22" fillId="13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9" fillId="0" borderId="20" xfId="0" applyFont="1" applyBorder="1" applyAlignment="1">
      <alignment vertical="center"/>
    </xf>
    <xf numFmtId="0" fontId="49" fillId="0" borderId="15" xfId="0" applyFont="1" applyBorder="1" applyAlignment="1">
      <alignment horizontal="center" vertical="center"/>
    </xf>
    <xf numFmtId="0" fontId="49" fillId="0" borderId="19" xfId="0" applyFont="1" applyBorder="1" applyAlignment="1">
      <alignment vertical="center"/>
    </xf>
    <xf numFmtId="0" fontId="49" fillId="0" borderId="3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8" fillId="0" borderId="45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0" borderId="22" xfId="0" applyFont="1" applyBorder="1" applyAlignment="1">
      <alignment vertical="center"/>
    </xf>
    <xf numFmtId="0" fontId="50" fillId="0" borderId="3" xfId="0" applyFont="1" applyBorder="1" applyAlignment="1">
      <alignment horizontal="center" vertical="center" wrapText="1"/>
    </xf>
    <xf numFmtId="0" fontId="49" fillId="0" borderId="3" xfId="0" applyFont="1" applyBorder="1" applyAlignment="1">
      <alignment vertical="center"/>
    </xf>
    <xf numFmtId="0" fontId="19" fillId="4" borderId="38" xfId="4" applyFont="1" applyFill="1" applyBorder="1" applyAlignment="1">
      <alignment vertical="center" wrapText="1"/>
    </xf>
    <xf numFmtId="0" fontId="19" fillId="4" borderId="1" xfId="4" applyFont="1" applyFill="1" applyBorder="1" applyAlignment="1">
      <alignment vertical="center" wrapText="1"/>
    </xf>
    <xf numFmtId="0" fontId="19" fillId="8" borderId="1" xfId="0" applyFont="1" applyFill="1" applyBorder="1" applyAlignment="1">
      <alignment horizontal="center" vertical="center" textRotation="90" wrapText="1"/>
    </xf>
    <xf numFmtId="0" fontId="19" fillId="8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4" borderId="1" xfId="0" applyFill="1" applyBorder="1"/>
    <xf numFmtId="1" fontId="0" fillId="14" borderId="1" xfId="0" applyNumberFormat="1" applyFill="1" applyBorder="1"/>
    <xf numFmtId="4" fontId="0" fillId="14" borderId="1" xfId="0" applyNumberFormat="1" applyFill="1" applyBorder="1"/>
    <xf numFmtId="9" fontId="0" fillId="14" borderId="1" xfId="0" applyNumberFormat="1" applyFill="1" applyBorder="1"/>
    <xf numFmtId="2" fontId="0" fillId="14" borderId="1" xfId="0" applyNumberFormat="1" applyFill="1" applyBorder="1"/>
    <xf numFmtId="2" fontId="0" fillId="0" borderId="0" xfId="0" applyNumberFormat="1"/>
    <xf numFmtId="0" fontId="0" fillId="11" borderId="1" xfId="0" applyFill="1" applyBorder="1"/>
    <xf numFmtId="2" fontId="0" fillId="11" borderId="1" xfId="0" applyNumberFormat="1" applyFill="1" applyBorder="1"/>
    <xf numFmtId="9" fontId="0" fillId="11" borderId="1" xfId="0" applyNumberFormat="1" applyFill="1" applyBorder="1"/>
    <xf numFmtId="0" fontId="0" fillId="5" borderId="1" xfId="0" applyFill="1" applyBorder="1"/>
    <xf numFmtId="2" fontId="0" fillId="5" borderId="1" xfId="0" applyNumberFormat="1" applyFill="1" applyBorder="1"/>
    <xf numFmtId="9" fontId="0" fillId="5" borderId="1" xfId="0" applyNumberFormat="1" applyFill="1" applyBorder="1"/>
    <xf numFmtId="0" fontId="0" fillId="15" borderId="1" xfId="0" applyFill="1" applyBorder="1"/>
    <xf numFmtId="9" fontId="0" fillId="15" borderId="1" xfId="0" applyNumberFormat="1" applyFill="1" applyBorder="1"/>
    <xf numFmtId="2" fontId="0" fillId="15" borderId="1" xfId="0" applyNumberFormat="1" applyFill="1" applyBorder="1"/>
    <xf numFmtId="0" fontId="0" fillId="13" borderId="1" xfId="0" applyFill="1" applyBorder="1"/>
    <xf numFmtId="2" fontId="0" fillId="13" borderId="1" xfId="0" applyNumberFormat="1" applyFill="1" applyBorder="1"/>
    <xf numFmtId="9" fontId="0" fillId="13" borderId="1" xfId="0" applyNumberFormat="1" applyFill="1" applyBorder="1"/>
    <xf numFmtId="0" fontId="0" fillId="16" borderId="1" xfId="0" applyFill="1" applyBorder="1"/>
    <xf numFmtId="2" fontId="0" fillId="16" borderId="1" xfId="0" applyNumberFormat="1" applyFill="1" applyBorder="1"/>
    <xf numFmtId="9" fontId="0" fillId="16" borderId="1" xfId="0" applyNumberFormat="1" applyFill="1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7" borderId="1" xfId="0" applyFill="1" applyBorder="1"/>
    <xf numFmtId="4" fontId="52" fillId="17" borderId="1" xfId="0" applyNumberFormat="1" applyFont="1" applyFill="1" applyBorder="1" applyAlignment="1">
      <alignment horizontal="right" vertical="top" wrapText="1"/>
    </xf>
    <xf numFmtId="2" fontId="0" fillId="17" borderId="1" xfId="0" applyNumberFormat="1" applyFill="1" applyBorder="1"/>
    <xf numFmtId="4" fontId="52" fillId="17" borderId="1" xfId="0" applyNumberFormat="1" applyFont="1" applyFill="1" applyBorder="1" applyAlignment="1">
      <alignment vertical="top" wrapText="1"/>
    </xf>
    <xf numFmtId="9" fontId="0" fillId="17" borderId="1" xfId="0" applyNumberFormat="1" applyFill="1" applyBorder="1"/>
    <xf numFmtId="14" fontId="19" fillId="18" borderId="1" xfId="15" applyNumberFormat="1" applyFont="1" applyFill="1" applyBorder="1" applyAlignment="1">
      <alignment horizontal="center" vertical="center" wrapText="1"/>
    </xf>
    <xf numFmtId="178" fontId="19" fillId="18" borderId="1" xfId="15" applyNumberFormat="1" applyFont="1" applyFill="1" applyBorder="1" applyAlignment="1">
      <alignment horizontal="center" vertical="center" wrapText="1"/>
    </xf>
    <xf numFmtId="14" fontId="51" fillId="0" borderId="1" xfId="15" applyNumberFormat="1" applyFont="1" applyBorder="1" applyAlignment="1">
      <alignment horizontal="center" vertical="center" shrinkToFit="1"/>
    </xf>
    <xf numFmtId="0" fontId="51" fillId="0" borderId="1" xfId="15" applyFont="1" applyBorder="1" applyAlignment="1">
      <alignment horizontal="center" vertical="center"/>
    </xf>
    <xf numFmtId="0" fontId="51" fillId="0" borderId="1" xfId="15" applyFont="1" applyBorder="1" applyAlignment="1" applyProtection="1">
      <alignment horizontal="center" vertical="center" shrinkToFit="1"/>
      <protection hidden="1"/>
    </xf>
    <xf numFmtId="0" fontId="51" fillId="0" borderId="1" xfId="15" applyFont="1" applyBorder="1" applyAlignment="1">
      <alignment horizontal="center" vertical="center" shrinkToFit="1"/>
    </xf>
    <xf numFmtId="14" fontId="51" fillId="0" borderId="1" xfId="15" applyNumberFormat="1" applyFont="1" applyBorder="1" applyAlignment="1">
      <alignment horizontal="center" vertical="center"/>
    </xf>
    <xf numFmtId="178" fontId="53" fillId="0" borderId="1" xfId="15" applyNumberFormat="1" applyFont="1" applyBorder="1" applyAlignment="1">
      <alignment horizontal="center" vertical="center"/>
    </xf>
    <xf numFmtId="2" fontId="53" fillId="0" borderId="1" xfId="15" applyNumberFormat="1" applyFont="1" applyBorder="1" applyAlignment="1">
      <alignment horizontal="center" vertical="center"/>
    </xf>
    <xf numFmtId="165" fontId="29" fillId="0" borderId="0" xfId="4" applyNumberFormat="1"/>
    <xf numFmtId="4" fontId="52" fillId="19" borderId="1" xfId="0" applyNumberFormat="1" applyFont="1" applyFill="1" applyBorder="1" applyAlignment="1">
      <alignment horizontal="right" vertical="center" wrapText="1"/>
    </xf>
    <xf numFmtId="2" fontId="0" fillId="19" borderId="1" xfId="0" applyNumberFormat="1" applyFill="1" applyBorder="1" applyAlignment="1">
      <alignment horizontal="right" vertical="center"/>
    </xf>
    <xf numFmtId="9" fontId="0" fillId="19" borderId="1" xfId="0" applyNumberFormat="1" applyFill="1" applyBorder="1" applyAlignment="1">
      <alignment horizontal="right" vertical="center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/>
    <xf numFmtId="2" fontId="0" fillId="20" borderId="1" xfId="0" applyNumberFormat="1" applyFill="1" applyBorder="1"/>
    <xf numFmtId="2" fontId="0" fillId="20" borderId="1" xfId="0" applyNumberFormat="1" applyFill="1" applyBorder="1" applyAlignment="1">
      <alignment horizontal="right" vertical="center"/>
    </xf>
    <xf numFmtId="4" fontId="52" fillId="20" borderId="1" xfId="0" applyNumberFormat="1" applyFont="1" applyFill="1" applyBorder="1" applyAlignment="1">
      <alignment horizontal="right" vertical="center" wrapText="1"/>
    </xf>
    <xf numFmtId="9" fontId="0" fillId="20" borderId="1" xfId="0" applyNumberFormat="1" applyFill="1" applyBorder="1" applyAlignment="1">
      <alignment horizontal="right" vertical="center"/>
    </xf>
    <xf numFmtId="0" fontId="12" fillId="0" borderId="0" xfId="16" applyAlignment="1">
      <alignment vertical="center"/>
    </xf>
    <xf numFmtId="0" fontId="12" fillId="12" borderId="0" xfId="16" applyFill="1" applyAlignment="1">
      <alignment vertical="center"/>
    </xf>
    <xf numFmtId="0" fontId="12" fillId="0" borderId="0" xfId="16" applyAlignment="1">
      <alignment horizontal="left" vertical="center"/>
    </xf>
    <xf numFmtId="0" fontId="19" fillId="4" borderId="0" xfId="4" applyFont="1" applyFill="1" applyAlignment="1">
      <alignment horizontal="center" vertical="center" wrapText="1"/>
    </xf>
    <xf numFmtId="165" fontId="19" fillId="0" borderId="1" xfId="5" applyNumberFormat="1" applyFont="1" applyBorder="1" applyAlignment="1">
      <alignment horizontal="center" vertical="center"/>
    </xf>
    <xf numFmtId="167" fontId="29" fillId="0" borderId="0" xfId="5" applyNumberFormat="1" applyFont="1" applyBorder="1" applyAlignment="1">
      <alignment vertical="center"/>
    </xf>
    <xf numFmtId="167" fontId="29" fillId="0" borderId="0" xfId="5" applyNumberFormat="1" applyFont="1" applyFill="1" applyBorder="1" applyAlignment="1">
      <alignment vertical="center"/>
    </xf>
    <xf numFmtId="9" fontId="29" fillId="0" borderId="0" xfId="4" applyNumberFormat="1" applyAlignment="1">
      <alignment vertical="center"/>
    </xf>
    <xf numFmtId="0" fontId="19" fillId="0" borderId="57" xfId="4" applyFont="1" applyBorder="1" applyAlignment="1">
      <alignment horizontal="center" vertical="center"/>
    </xf>
    <xf numFmtId="1" fontId="29" fillId="0" borderId="57" xfId="4" applyNumberFormat="1" applyBorder="1" applyAlignment="1">
      <alignment horizontal="center" vertical="center"/>
    </xf>
    <xf numFmtId="165" fontId="29" fillId="0" borderId="57" xfId="4" applyNumberFormat="1" applyBorder="1" applyAlignment="1">
      <alignment vertical="center"/>
    </xf>
    <xf numFmtId="0" fontId="30" fillId="4" borderId="1" xfId="4" applyFont="1" applyFill="1" applyBorder="1" applyAlignment="1">
      <alignment horizontal="center" vertical="center"/>
    </xf>
    <xf numFmtId="0" fontId="19" fillId="4" borderId="1" xfId="4" applyFont="1" applyFill="1" applyBorder="1" applyAlignment="1">
      <alignment horizontal="center" vertical="center"/>
    </xf>
    <xf numFmtId="0" fontId="19" fillId="4" borderId="1" xfId="4" applyFont="1" applyFill="1" applyBorder="1" applyAlignment="1">
      <alignment horizontal="center" vertical="center" wrapText="1"/>
    </xf>
    <xf numFmtId="9" fontId="0" fillId="0" borderId="0" xfId="0" applyNumberFormat="1"/>
    <xf numFmtId="165" fontId="29" fillId="0" borderId="17" xfId="1" applyFont="1" applyBorder="1" applyAlignment="1">
      <alignment horizontal="center" vertical="center"/>
    </xf>
    <xf numFmtId="165" fontId="29" fillId="0" borderId="1" xfId="1" applyFont="1" applyBorder="1" applyAlignment="1">
      <alignment horizontal="center" vertical="center"/>
    </xf>
    <xf numFmtId="165" fontId="29" fillId="0" borderId="1" xfId="1" applyFont="1" applyBorder="1" applyAlignment="1">
      <alignment vertical="center"/>
    </xf>
    <xf numFmtId="0" fontId="30" fillId="4" borderId="41" xfId="4" applyFont="1" applyFill="1" applyBorder="1" applyAlignment="1">
      <alignment horizontal="center" vertical="center"/>
    </xf>
    <xf numFmtId="0" fontId="29" fillId="0" borderId="32" xfId="4" applyBorder="1" applyAlignment="1">
      <alignment horizontal="center" vertical="center"/>
    </xf>
    <xf numFmtId="0" fontId="29" fillId="0" borderId="55" xfId="4" applyBorder="1" applyAlignment="1">
      <alignment horizontal="center" vertical="center"/>
    </xf>
    <xf numFmtId="9" fontId="11" fillId="0" borderId="1" xfId="3" applyFont="1" applyBorder="1" applyAlignment="1">
      <alignment horizontal="center" vertical="center"/>
    </xf>
    <xf numFmtId="179" fontId="0" fillId="0" borderId="0" xfId="0" applyNumberFormat="1"/>
    <xf numFmtId="177" fontId="19" fillId="0" borderId="1" xfId="5" applyNumberFormat="1" applyFont="1" applyBorder="1" applyAlignment="1">
      <alignment horizontal="center" vertical="center"/>
    </xf>
    <xf numFmtId="177" fontId="33" fillId="3" borderId="1" xfId="5" applyNumberFormat="1" applyFont="1" applyFill="1" applyBorder="1" applyAlignment="1">
      <alignment horizontal="center" vertical="center"/>
    </xf>
    <xf numFmtId="0" fontId="30" fillId="4" borderId="48" xfId="4" applyFont="1" applyFill="1" applyBorder="1" applyAlignment="1">
      <alignment horizontal="center" vertical="center"/>
    </xf>
    <xf numFmtId="0" fontId="30" fillId="4" borderId="28" xfId="4" applyFont="1" applyFill="1" applyBorder="1" applyAlignment="1">
      <alignment horizontal="center" vertical="center"/>
    </xf>
    <xf numFmtId="177" fontId="29" fillId="0" borderId="17" xfId="1" applyNumberFormat="1" applyFont="1" applyBorder="1" applyAlignment="1">
      <alignment horizontal="center" vertical="center"/>
    </xf>
    <xf numFmtId="177" fontId="29" fillId="0" borderId="1" xfId="1" applyNumberFormat="1" applyFont="1" applyBorder="1" applyAlignment="1">
      <alignment vertical="center"/>
    </xf>
    <xf numFmtId="177" fontId="29" fillId="0" borderId="57" xfId="4" applyNumberFormat="1" applyBorder="1" applyAlignment="1">
      <alignment vertical="center"/>
    </xf>
    <xf numFmtId="0" fontId="0" fillId="0" borderId="0" xfId="0" applyAlignment="1">
      <alignment horizontal="right"/>
    </xf>
    <xf numFmtId="0" fontId="0" fillId="6" borderId="1" xfId="0" applyFill="1" applyBorder="1" applyAlignment="1">
      <alignment horizontal="right"/>
    </xf>
    <xf numFmtId="0" fontId="0" fillId="16" borderId="0" xfId="0" applyFill="1" applyAlignment="1">
      <alignment horizontal="center"/>
    </xf>
    <xf numFmtId="0" fontId="0" fillId="16" borderId="0" xfId="0" applyFill="1"/>
    <xf numFmtId="2" fontId="19" fillId="3" borderId="0" xfId="0" applyNumberFormat="1" applyFont="1" applyFill="1"/>
    <xf numFmtId="0" fontId="17" fillId="0" borderId="0" xfId="0" applyFont="1"/>
    <xf numFmtId="0" fontId="0" fillId="10" borderId="1" xfId="0" applyFill="1" applyBorder="1" applyAlignment="1">
      <alignment horizontal="right"/>
    </xf>
    <xf numFmtId="0" fontId="0" fillId="23" borderId="0" xfId="0" applyFill="1" applyAlignment="1">
      <alignment horizontal="center"/>
    </xf>
    <xf numFmtId="0" fontId="0" fillId="23" borderId="0" xfId="0" applyFill="1"/>
    <xf numFmtId="0" fontId="19" fillId="0" borderId="0" xfId="0" applyFont="1" applyAlignment="1">
      <alignment horizontal="right"/>
    </xf>
    <xf numFmtId="2" fontId="19" fillId="0" borderId="0" xfId="0" applyNumberFormat="1" applyFont="1"/>
    <xf numFmtId="165" fontId="33" fillId="0" borderId="0" xfId="1" applyFont="1" applyAlignment="1">
      <alignment horizontal="center" vertical="center"/>
    </xf>
    <xf numFmtId="9" fontId="10" fillId="0" borderId="1" xfId="3" applyFont="1" applyBorder="1" applyAlignment="1">
      <alignment horizontal="center" vertical="center"/>
    </xf>
    <xf numFmtId="0" fontId="29" fillId="0" borderId="57" xfId="4" applyBorder="1" applyAlignment="1">
      <alignment horizontal="center" vertical="center"/>
    </xf>
    <xf numFmtId="0" fontId="29" fillId="0" borderId="57" xfId="4" applyBorder="1" applyAlignment="1">
      <alignment vertical="center"/>
    </xf>
    <xf numFmtId="165" fontId="12" fillId="0" borderId="0" xfId="16" applyNumberFormat="1" applyAlignment="1">
      <alignment vertical="center"/>
    </xf>
    <xf numFmtId="180" fontId="12" fillId="0" borderId="0" xfId="16" applyNumberFormat="1" applyAlignment="1">
      <alignment vertical="center"/>
    </xf>
    <xf numFmtId="0" fontId="7" fillId="24" borderId="1" xfId="16" applyFont="1" applyFill="1" applyBorder="1" applyAlignment="1">
      <alignment horizontal="center" vertical="center" wrapText="1"/>
    </xf>
    <xf numFmtId="0" fontId="37" fillId="24" borderId="1" xfId="16" applyFont="1" applyFill="1" applyBorder="1" applyAlignment="1">
      <alignment horizontal="center" vertical="center" wrapText="1"/>
    </xf>
    <xf numFmtId="165" fontId="8" fillId="24" borderId="35" xfId="1" applyFont="1" applyFill="1" applyBorder="1" applyAlignment="1">
      <alignment horizontal="center" vertical="center" wrapText="1"/>
    </xf>
    <xf numFmtId="0" fontId="6" fillId="24" borderId="1" xfId="16" applyFont="1" applyFill="1" applyBorder="1" applyAlignment="1">
      <alignment horizontal="center" vertical="center" wrapText="1"/>
    </xf>
    <xf numFmtId="2" fontId="12" fillId="0" borderId="0" xfId="16" applyNumberFormat="1" applyAlignment="1">
      <alignment vertical="center"/>
    </xf>
    <xf numFmtId="0" fontId="54" fillId="25" borderId="35" xfId="16" applyFont="1" applyFill="1" applyBorder="1" applyAlignment="1">
      <alignment horizontal="center" vertical="center" wrapText="1"/>
    </xf>
    <xf numFmtId="0" fontId="54" fillId="25" borderId="1" xfId="16" applyFont="1" applyFill="1" applyBorder="1" applyAlignment="1">
      <alignment horizontal="center" vertical="center" wrapText="1"/>
    </xf>
    <xf numFmtId="0" fontId="5" fillId="24" borderId="1" xfId="16" applyFont="1" applyFill="1" applyBorder="1" applyAlignment="1">
      <alignment horizontal="center" vertical="center" wrapText="1"/>
    </xf>
    <xf numFmtId="3" fontId="57" fillId="12" borderId="1" xfId="22" applyNumberFormat="1" applyFont="1" applyFill="1" applyBorder="1" applyAlignment="1">
      <alignment horizontal="center" wrapText="1"/>
    </xf>
    <xf numFmtId="0" fontId="57" fillId="0" borderId="1" xfId="22" applyFont="1" applyBorder="1" applyAlignment="1">
      <alignment horizontal="left" wrapText="1"/>
    </xf>
    <xf numFmtId="3" fontId="57" fillId="0" borderId="1" xfId="22" applyNumberFormat="1" applyFont="1" applyBorder="1" applyAlignment="1">
      <alignment horizontal="right" wrapText="1"/>
    </xf>
    <xf numFmtId="0" fontId="58" fillId="25" borderId="35" xfId="16" applyFont="1" applyFill="1" applyBorder="1" applyAlignment="1">
      <alignment horizontal="center" vertical="center" wrapText="1"/>
    </xf>
    <xf numFmtId="0" fontId="58" fillId="25" borderId="1" xfId="16" applyFont="1" applyFill="1" applyBorder="1" applyAlignment="1">
      <alignment horizontal="center" vertical="center" wrapText="1"/>
    </xf>
    <xf numFmtId="0" fontId="54" fillId="12" borderId="35" xfId="16" applyFont="1" applyFill="1" applyBorder="1" applyAlignment="1">
      <alignment horizontal="center" vertical="center" wrapText="1"/>
    </xf>
    <xf numFmtId="0" fontId="54" fillId="12" borderId="1" xfId="16" applyFont="1" applyFill="1" applyBorder="1" applyAlignment="1">
      <alignment horizontal="center" vertical="center" wrapText="1"/>
    </xf>
    <xf numFmtId="165" fontId="8" fillId="7" borderId="35" xfId="1" applyFont="1" applyFill="1" applyBorder="1" applyAlignment="1">
      <alignment horizontal="center" vertical="center" wrapText="1"/>
    </xf>
    <xf numFmtId="0" fontId="9" fillId="7" borderId="1" xfId="16" applyFont="1" applyFill="1" applyBorder="1" applyAlignment="1">
      <alignment horizontal="center" vertical="center" wrapText="1"/>
    </xf>
    <xf numFmtId="0" fontId="3" fillId="24" borderId="35" xfId="16" applyFont="1" applyFill="1" applyBorder="1" applyAlignment="1">
      <alignment horizontal="left" vertical="center" wrapText="1"/>
    </xf>
    <xf numFmtId="165" fontId="3" fillId="24" borderId="35" xfId="1" applyFont="1" applyFill="1" applyBorder="1" applyAlignment="1">
      <alignment horizontal="center" vertical="center" wrapText="1"/>
    </xf>
    <xf numFmtId="0" fontId="3" fillId="24" borderId="1" xfId="16" applyFont="1" applyFill="1" applyBorder="1" applyAlignment="1">
      <alignment horizontal="center" vertical="center" wrapText="1"/>
    </xf>
    <xf numFmtId="0" fontId="37" fillId="26" borderId="8" xfId="16" applyFont="1" applyFill="1" applyBorder="1" applyAlignment="1">
      <alignment horizontal="left" vertical="center" wrapText="1"/>
    </xf>
    <xf numFmtId="0" fontId="37" fillId="0" borderId="8" xfId="16" applyFont="1" applyBorder="1" applyAlignment="1">
      <alignment horizontal="left" vertical="center" wrapText="1"/>
    </xf>
    <xf numFmtId="164" fontId="2" fillId="26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7" fillId="7" borderId="56" xfId="16" applyFont="1" applyFill="1" applyBorder="1" applyAlignment="1">
      <alignment horizontal="center" vertical="center" wrapText="1"/>
    </xf>
    <xf numFmtId="164" fontId="2" fillId="0" borderId="35" xfId="1" applyNumberFormat="1" applyFont="1" applyFill="1" applyBorder="1" applyAlignment="1">
      <alignment horizontal="center" vertical="center" wrapText="1"/>
    </xf>
    <xf numFmtId="0" fontId="2" fillId="0" borderId="8" xfId="16" applyFont="1" applyBorder="1" applyAlignment="1">
      <alignment horizontal="left" vertical="center" wrapText="1"/>
    </xf>
    <xf numFmtId="0" fontId="2" fillId="0" borderId="1" xfId="16" applyFont="1" applyBorder="1" applyAlignment="1">
      <alignment horizontal="center" vertical="center"/>
    </xf>
    <xf numFmtId="164" fontId="2" fillId="7" borderId="1" xfId="1" applyNumberFormat="1" applyFont="1" applyFill="1" applyBorder="1" applyAlignment="1">
      <alignment horizontal="center" vertical="center" wrapText="1"/>
    </xf>
    <xf numFmtId="0" fontId="2" fillId="7" borderId="1" xfId="16" applyFont="1" applyFill="1" applyBorder="1" applyAlignment="1">
      <alignment horizontal="center" vertical="center"/>
    </xf>
    <xf numFmtId="0" fontId="2" fillId="7" borderId="8" xfId="16" applyFont="1" applyFill="1" applyBorder="1" applyAlignment="1">
      <alignment horizontal="center" vertical="center" wrapText="1"/>
    </xf>
    <xf numFmtId="0" fontId="2" fillId="16" borderId="8" xfId="16" applyFont="1" applyFill="1" applyBorder="1" applyAlignment="1">
      <alignment horizontal="left" vertical="center" wrapText="1"/>
    </xf>
    <xf numFmtId="0" fontId="2" fillId="24" borderId="8" xfId="16" applyFont="1" applyFill="1" applyBorder="1" applyAlignment="1">
      <alignment horizontal="left" vertical="center" wrapText="1"/>
    </xf>
    <xf numFmtId="164" fontId="2" fillId="16" borderId="1" xfId="1" applyNumberFormat="1" applyFont="1" applyFill="1" applyBorder="1" applyAlignment="1">
      <alignment horizontal="center" vertical="center" wrapText="1"/>
    </xf>
    <xf numFmtId="164" fontId="2" fillId="24" borderId="35" xfId="1" applyNumberFormat="1" applyFont="1" applyFill="1" applyBorder="1" applyAlignment="1">
      <alignment horizontal="center" vertical="center" wrapText="1"/>
    </xf>
    <xf numFmtId="0" fontId="37" fillId="16" borderId="1" xfId="16" applyFont="1" applyFill="1" applyBorder="1" applyAlignment="1">
      <alignment horizontal="center" vertical="center" wrapText="1"/>
    </xf>
    <xf numFmtId="0" fontId="37" fillId="0" borderId="1" xfId="16" applyFont="1" applyBorder="1" applyAlignment="1">
      <alignment horizontal="center" vertical="center" wrapText="1"/>
    </xf>
    <xf numFmtId="0" fontId="54" fillId="25" borderId="59" xfId="16" applyFont="1" applyFill="1" applyBorder="1" applyAlignment="1">
      <alignment horizontal="center" vertical="center" wrapText="1"/>
    </xf>
    <xf numFmtId="0" fontId="54" fillId="25" borderId="56" xfId="16" applyFont="1" applyFill="1" applyBorder="1" applyAlignment="1">
      <alignment horizontal="center" vertical="center" wrapText="1"/>
    </xf>
    <xf numFmtId="0" fontId="37" fillId="12" borderId="8" xfId="16" applyFont="1" applyFill="1" applyBorder="1" applyAlignment="1">
      <alignment horizontal="left" vertical="center" wrapText="1"/>
    </xf>
    <xf numFmtId="164" fontId="2" fillId="12" borderId="1" xfId="1" applyNumberFormat="1" applyFont="1" applyFill="1" applyBorder="1" applyAlignment="1">
      <alignment horizontal="center" vertical="center" wrapText="1"/>
    </xf>
    <xf numFmtId="0" fontId="2" fillId="12" borderId="1" xfId="16" applyFont="1" applyFill="1" applyBorder="1" applyAlignment="1">
      <alignment horizontal="center" vertical="center" wrapText="1"/>
    </xf>
    <xf numFmtId="0" fontId="54" fillId="25" borderId="8" xfId="16" applyFont="1" applyFill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/>
    </xf>
    <xf numFmtId="0" fontId="48" fillId="0" borderId="49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/>
    </xf>
    <xf numFmtId="0" fontId="49" fillId="0" borderId="15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0" borderId="25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49" fillId="0" borderId="44" xfId="0" applyFont="1" applyBorder="1" applyAlignment="1">
      <alignment horizontal="center" vertical="center" wrapText="1"/>
    </xf>
    <xf numFmtId="0" fontId="49" fillId="0" borderId="45" xfId="0" applyFont="1" applyBorder="1" applyAlignment="1">
      <alignment horizontal="center" vertical="center" wrapText="1"/>
    </xf>
    <xf numFmtId="0" fontId="49" fillId="0" borderId="46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0" fontId="49" fillId="0" borderId="47" xfId="0" applyFont="1" applyBorder="1" applyAlignment="1">
      <alignment horizontal="center" vertical="center" wrapText="1"/>
    </xf>
    <xf numFmtId="0" fontId="49" fillId="0" borderId="20" xfId="0" applyFont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vertical="center"/>
    </xf>
    <xf numFmtId="0" fontId="27" fillId="2" borderId="24" xfId="0" applyFont="1" applyFill="1" applyBorder="1" applyAlignment="1">
      <alignment vertical="center"/>
    </xf>
    <xf numFmtId="0" fontId="21" fillId="2" borderId="25" xfId="0" applyFont="1" applyFill="1" applyBorder="1" applyAlignment="1">
      <alignment vertical="center"/>
    </xf>
    <xf numFmtId="0" fontId="21" fillId="2" borderId="19" xfId="0" applyFont="1" applyFill="1" applyBorder="1" applyAlignment="1">
      <alignment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42" fillId="0" borderId="0" xfId="8" applyFont="1" applyAlignment="1">
      <alignment horizontal="center" vertical="center" wrapText="1"/>
    </xf>
    <xf numFmtId="0" fontId="15" fillId="0" borderId="4" xfId="8" applyBorder="1" applyAlignment="1">
      <alignment horizontal="center" vertical="center"/>
    </xf>
    <xf numFmtId="0" fontId="15" fillId="0" borderId="2" xfId="8" applyBorder="1" applyAlignment="1">
      <alignment horizontal="center" vertical="center"/>
    </xf>
    <xf numFmtId="0" fontId="15" fillId="0" borderId="40" xfId="8" applyBorder="1" applyAlignment="1">
      <alignment horizontal="right" vertical="center"/>
    </xf>
    <xf numFmtId="0" fontId="15" fillId="0" borderId="26" xfId="8" applyBorder="1" applyAlignment="1">
      <alignment horizontal="right" vertical="center"/>
    </xf>
    <xf numFmtId="0" fontId="15" fillId="0" borderId="17" xfId="8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3" borderId="0" xfId="0" applyFill="1" applyAlignment="1">
      <alignment horizontal="center"/>
    </xf>
    <xf numFmtId="0" fontId="0" fillId="22" borderId="0" xfId="0" applyFill="1" applyAlignment="1">
      <alignment horizontal="center"/>
    </xf>
    <xf numFmtId="0" fontId="0" fillId="0" borderId="0" xfId="0" applyAlignment="1">
      <alignment horizontal="left" vertical="top"/>
    </xf>
    <xf numFmtId="14" fontId="51" fillId="0" borderId="57" xfId="15" applyNumberFormat="1" applyFont="1" applyBorder="1" applyAlignment="1">
      <alignment horizontal="center" vertical="center" shrinkToFit="1"/>
    </xf>
    <xf numFmtId="14" fontId="51" fillId="0" borderId="2" xfId="15" applyNumberFormat="1" applyFont="1" applyBorder="1" applyAlignment="1">
      <alignment horizontal="center" vertical="center" shrinkToFit="1"/>
    </xf>
    <xf numFmtId="14" fontId="51" fillId="0" borderId="17" xfId="15" applyNumberFormat="1" applyFont="1" applyBorder="1" applyAlignment="1">
      <alignment horizontal="center" vertical="center" shrinkToFit="1"/>
    </xf>
    <xf numFmtId="0" fontId="51" fillId="0" borderId="57" xfId="15" applyFont="1" applyBorder="1" applyAlignment="1">
      <alignment horizontal="center" vertical="center"/>
    </xf>
    <xf numFmtId="0" fontId="51" fillId="0" borderId="2" xfId="15" applyFont="1" applyBorder="1" applyAlignment="1">
      <alignment horizontal="center" vertical="center"/>
    </xf>
    <xf numFmtId="0" fontId="51" fillId="0" borderId="17" xfId="15" applyFont="1" applyBorder="1" applyAlignment="1">
      <alignment horizontal="center" vertical="center"/>
    </xf>
    <xf numFmtId="0" fontId="51" fillId="0" borderId="57" xfId="15" applyFont="1" applyBorder="1" applyAlignment="1" applyProtection="1">
      <alignment horizontal="center" vertical="center" shrinkToFit="1"/>
      <protection hidden="1"/>
    </xf>
    <xf numFmtId="0" fontId="51" fillId="0" borderId="2" xfId="15" applyFont="1" applyBorder="1" applyAlignment="1" applyProtection="1">
      <alignment horizontal="center" vertical="center" shrinkToFit="1"/>
      <protection hidden="1"/>
    </xf>
    <xf numFmtId="0" fontId="51" fillId="0" borderId="17" xfId="15" applyFont="1" applyBorder="1" applyAlignment="1" applyProtection="1">
      <alignment horizontal="center" vertical="center" shrinkToFit="1"/>
      <protection hidden="1"/>
    </xf>
    <xf numFmtId="0" fontId="51" fillId="0" borderId="57" xfId="15" applyFont="1" applyBorder="1" applyAlignment="1">
      <alignment horizontal="center" vertical="center" shrinkToFit="1"/>
    </xf>
    <xf numFmtId="0" fontId="51" fillId="0" borderId="2" xfId="15" applyFont="1" applyBorder="1" applyAlignment="1">
      <alignment horizontal="center" vertical="center" shrinkToFit="1"/>
    </xf>
    <xf numFmtId="0" fontId="51" fillId="0" borderId="17" xfId="15" applyFont="1" applyBorder="1" applyAlignment="1">
      <alignment horizontal="center" vertical="center" shrinkToFit="1"/>
    </xf>
    <xf numFmtId="0" fontId="52" fillId="19" borderId="1" xfId="0" applyFont="1" applyFill="1" applyBorder="1" applyAlignment="1">
      <alignment horizontal="left" vertical="center" wrapText="1"/>
    </xf>
    <xf numFmtId="0" fontId="52" fillId="17" borderId="1" xfId="0" applyFont="1" applyFill="1" applyBorder="1" applyAlignment="1">
      <alignment horizontal="left" vertical="top" wrapText="1"/>
    </xf>
    <xf numFmtId="0" fontId="0" fillId="20" borderId="56" xfId="0" applyFill="1" applyBorder="1" applyAlignment="1">
      <alignment horizontal="left" vertical="center"/>
    </xf>
    <xf numFmtId="0" fontId="0" fillId="20" borderId="55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20" borderId="1" xfId="0" applyFill="1" applyBorder="1" applyAlignment="1">
      <alignment horizontal="center"/>
    </xf>
    <xf numFmtId="2" fontId="0" fillId="0" borderId="46" xfId="0" applyNumberFormat="1" applyBorder="1" applyAlignment="1">
      <alignment horizontal="center" vertical="center"/>
    </xf>
    <xf numFmtId="0" fontId="0" fillId="16" borderId="1" xfId="0" applyFill="1" applyBorder="1" applyAlignment="1">
      <alignment horizontal="left"/>
    </xf>
    <xf numFmtId="2" fontId="0" fillId="16" borderId="53" xfId="0" applyNumberFormat="1" applyFill="1" applyBorder="1" applyAlignment="1">
      <alignment horizontal="center" vertical="center"/>
    </xf>
    <xf numFmtId="2" fontId="0" fillId="16" borderId="50" xfId="0" applyNumberFormat="1" applyFill="1" applyBorder="1" applyAlignment="1">
      <alignment horizontal="center" vertical="center"/>
    </xf>
    <xf numFmtId="2" fontId="0" fillId="16" borderId="51" xfId="0" applyNumberFormat="1" applyFill="1" applyBorder="1" applyAlignment="1">
      <alignment horizontal="center" vertical="center"/>
    </xf>
    <xf numFmtId="2" fontId="0" fillId="17" borderId="4" xfId="0" applyNumberFormat="1" applyFill="1" applyBorder="1" applyAlignment="1">
      <alignment horizontal="center" vertical="center"/>
    </xf>
    <xf numFmtId="2" fontId="0" fillId="17" borderId="2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textRotation="90"/>
    </xf>
    <xf numFmtId="0" fontId="0" fillId="13" borderId="4" xfId="0" applyFill="1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0" fillId="16" borderId="4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16" borderId="17" xfId="0" applyFill="1" applyBorder="1" applyAlignment="1">
      <alignment horizontal="center" vertical="center"/>
    </xf>
    <xf numFmtId="2" fontId="0" fillId="16" borderId="4" xfId="0" applyNumberFormat="1" applyFill="1" applyBorder="1" applyAlignment="1">
      <alignment horizontal="center" vertical="center"/>
    </xf>
    <xf numFmtId="2" fontId="0" fillId="16" borderId="2" xfId="0" applyNumberFormat="1" applyFill="1" applyBorder="1" applyAlignment="1">
      <alignment horizontal="center" vertical="center"/>
    </xf>
    <xf numFmtId="2" fontId="0" fillId="16" borderId="17" xfId="0" applyNumberFormat="1" applyFill="1" applyBorder="1" applyAlignment="1">
      <alignment horizontal="center" vertical="center"/>
    </xf>
    <xf numFmtId="0" fontId="0" fillId="17" borderId="54" xfId="0" applyFill="1" applyBorder="1" applyAlignment="1">
      <alignment horizontal="center"/>
    </xf>
    <xf numFmtId="0" fontId="0" fillId="17" borderId="0" xfId="0" applyFill="1" applyAlignment="1">
      <alignment horizontal="center"/>
    </xf>
    <xf numFmtId="4" fontId="0" fillId="17" borderId="4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13" borderId="4" xfId="0" applyFill="1" applyBorder="1" applyAlignment="1">
      <alignment vertical="center"/>
    </xf>
    <xf numFmtId="0" fontId="0" fillId="13" borderId="17" xfId="0" applyFill="1" applyBorder="1" applyAlignment="1">
      <alignment vertical="center"/>
    </xf>
    <xf numFmtId="0" fontId="0" fillId="15" borderId="35" xfId="0" applyFill="1" applyBorder="1" applyAlignment="1">
      <alignment horizontal="left"/>
    </xf>
    <xf numFmtId="0" fontId="0" fillId="15" borderId="52" xfId="0" applyFill="1" applyBorder="1" applyAlignment="1">
      <alignment horizontal="left"/>
    </xf>
    <xf numFmtId="0" fontId="0" fillId="15" borderId="33" xfId="0" applyFill="1" applyBorder="1" applyAlignment="1">
      <alignment horizontal="left"/>
    </xf>
    <xf numFmtId="0" fontId="0" fillId="5" borderId="4" xfId="0" applyFill="1" applyBorder="1" applyAlignment="1">
      <alignment horizontal="center" textRotation="90"/>
    </xf>
    <xf numFmtId="0" fontId="0" fillId="5" borderId="2" xfId="0" applyFill="1" applyBorder="1" applyAlignment="1">
      <alignment horizontal="center" textRotation="90"/>
    </xf>
    <xf numFmtId="0" fontId="0" fillId="5" borderId="17" xfId="0" applyFill="1" applyBorder="1" applyAlignment="1">
      <alignment horizontal="center" textRotation="90"/>
    </xf>
    <xf numFmtId="2" fontId="0" fillId="5" borderId="4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0" fillId="5" borderId="17" xfId="0" applyNumberFormat="1" applyFill="1" applyBorder="1" applyAlignment="1">
      <alignment horizontal="center" vertical="center"/>
    </xf>
    <xf numFmtId="0" fontId="0" fillId="15" borderId="1" xfId="0" applyFill="1" applyBorder="1" applyAlignment="1">
      <alignment horizontal="center" textRotation="90"/>
    </xf>
    <xf numFmtId="0" fontId="0" fillId="15" borderId="4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2" fontId="0" fillId="15" borderId="4" xfId="0" applyNumberFormat="1" applyFill="1" applyBorder="1" applyAlignment="1">
      <alignment horizontal="center" vertical="center"/>
    </xf>
    <xf numFmtId="2" fontId="0" fillId="15" borderId="2" xfId="0" applyNumberFormat="1" applyFill="1" applyBorder="1" applyAlignment="1">
      <alignment horizontal="center" vertical="center"/>
    </xf>
    <xf numFmtId="2" fontId="0" fillId="15" borderId="17" xfId="0" applyNumberFormat="1" applyFill="1" applyBorder="1" applyAlignment="1">
      <alignment horizontal="center" vertical="center"/>
    </xf>
    <xf numFmtId="0" fontId="0" fillId="5" borderId="35" xfId="0" applyFill="1" applyBorder="1" applyAlignment="1">
      <alignment horizontal="left"/>
    </xf>
    <xf numFmtId="0" fontId="0" fillId="5" borderId="56" xfId="0" applyFill="1" applyBorder="1" applyAlignment="1">
      <alignment horizontal="left"/>
    </xf>
    <xf numFmtId="0" fontId="0" fillId="5" borderId="55" xfId="0" applyFill="1" applyBorder="1" applyAlignment="1">
      <alignment horizontal="left"/>
    </xf>
    <xf numFmtId="0" fontId="0" fillId="11" borderId="4" xfId="0" applyFill="1" applyBorder="1" applyAlignment="1">
      <alignment horizontal="center" vertical="center" textRotation="90"/>
    </xf>
    <xf numFmtId="0" fontId="0" fillId="11" borderId="2" xfId="0" applyFill="1" applyBorder="1" applyAlignment="1">
      <alignment horizontal="center" vertical="center" textRotation="90"/>
    </xf>
    <xf numFmtId="0" fontId="0" fillId="11" borderId="17" xfId="0" applyFill="1" applyBorder="1" applyAlignment="1">
      <alignment horizontal="center" vertical="center" textRotation="90"/>
    </xf>
    <xf numFmtId="2" fontId="0" fillId="11" borderId="4" xfId="0" applyNumberFormat="1" applyFill="1" applyBorder="1" applyAlignment="1">
      <alignment horizontal="center" vertical="center"/>
    </xf>
    <xf numFmtId="2" fontId="0" fillId="11" borderId="2" xfId="0" applyNumberFormat="1" applyFill="1" applyBorder="1" applyAlignment="1">
      <alignment horizontal="center" vertical="center"/>
    </xf>
    <xf numFmtId="2" fontId="0" fillId="11" borderId="17" xfId="0" applyNumberFormat="1" applyFill="1" applyBorder="1" applyAlignment="1">
      <alignment horizontal="center" vertical="center"/>
    </xf>
    <xf numFmtId="178" fontId="0" fillId="11" borderId="4" xfId="0" applyNumberForma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19" fillId="8" borderId="35" xfId="0" applyFont="1" applyFill="1" applyBorder="1" applyAlignment="1">
      <alignment horizontal="center" vertical="center" wrapText="1"/>
    </xf>
    <xf numFmtId="0" fontId="19" fillId="8" borderId="52" xfId="0" applyFont="1" applyFill="1" applyBorder="1" applyAlignment="1">
      <alignment horizontal="center" vertical="center" wrapText="1"/>
    </xf>
    <xf numFmtId="0" fontId="19" fillId="8" borderId="33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textRotation="90"/>
    </xf>
    <xf numFmtId="4" fontId="0" fillId="14" borderId="4" xfId="0" applyNumberFormat="1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2" fontId="0" fillId="14" borderId="4" xfId="0" applyNumberFormat="1" applyFill="1" applyBorder="1" applyAlignment="1">
      <alignment horizontal="center" vertical="center"/>
    </xf>
    <xf numFmtId="2" fontId="0" fillId="14" borderId="2" xfId="0" applyNumberFormat="1" applyFill="1" applyBorder="1" applyAlignment="1">
      <alignment horizontal="center" vertical="center"/>
    </xf>
    <xf numFmtId="2" fontId="0" fillId="14" borderId="17" xfId="0" applyNumberFormat="1" applyFill="1" applyBorder="1" applyAlignment="1">
      <alignment horizontal="center" vertical="center"/>
    </xf>
    <xf numFmtId="0" fontId="0" fillId="11" borderId="35" xfId="0" applyFill="1" applyBorder="1" applyAlignment="1">
      <alignment horizontal="left"/>
    </xf>
    <xf numFmtId="0" fontId="0" fillId="11" borderId="56" xfId="0" applyFill="1" applyBorder="1" applyAlignment="1">
      <alignment horizontal="left"/>
    </xf>
    <xf numFmtId="0" fontId="0" fillId="11" borderId="55" xfId="0" applyFill="1" applyBorder="1" applyAlignment="1">
      <alignment horizontal="left"/>
    </xf>
    <xf numFmtId="0" fontId="0" fillId="20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 textRotation="90"/>
    </xf>
    <xf numFmtId="0" fontId="0" fillId="21" borderId="1" xfId="0" applyFill="1" applyBorder="1" applyAlignment="1">
      <alignment horizontal="left"/>
    </xf>
    <xf numFmtId="0" fontId="0" fillId="19" borderId="58" xfId="0" applyFill="1" applyBorder="1" applyAlignment="1">
      <alignment horizontal="center" vertical="center" textRotation="90"/>
    </xf>
    <xf numFmtId="0" fontId="0" fillId="19" borderId="57" xfId="0" applyFill="1" applyBorder="1" applyAlignment="1">
      <alignment horizontal="center" vertical="center"/>
    </xf>
    <xf numFmtId="0" fontId="0" fillId="19" borderId="2" xfId="0" applyFill="1" applyBorder="1" applyAlignment="1">
      <alignment horizontal="center" vertical="center"/>
    </xf>
    <xf numFmtId="0" fontId="0" fillId="19" borderId="17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1" fillId="12" borderId="1" xfId="16" applyFont="1" applyFill="1" applyBorder="1" applyAlignment="1">
      <alignment horizontal="center" vertical="center" wrapText="1"/>
    </xf>
  </cellXfs>
  <cellStyles count="24">
    <cellStyle name="Денежный" xfId="2" builtinId="4"/>
    <cellStyle name="Денежный 2" xfId="6" xr:uid="{00000000-0005-0000-0000-000001000000}"/>
    <cellStyle name="Денежный 3" xfId="9" xr:uid="{00000000-0005-0000-0000-000002000000}"/>
    <cellStyle name="Денежный 3 2" xfId="14" xr:uid="{00000000-0005-0000-0000-000003000000}"/>
    <cellStyle name="Денежный 4" xfId="11" xr:uid="{00000000-0005-0000-0000-000004000000}"/>
    <cellStyle name="Обычный" xfId="0" builtinId="0"/>
    <cellStyle name="Обычный 2" xfId="8" xr:uid="{00000000-0005-0000-0000-000006000000}"/>
    <cellStyle name="Обычный 2 2" xfId="13" xr:uid="{00000000-0005-0000-0000-000007000000}"/>
    <cellStyle name="Обычный 3" xfId="4" xr:uid="{00000000-0005-0000-0000-000008000000}"/>
    <cellStyle name="Обычный 4" xfId="15" xr:uid="{00000000-0005-0000-0000-000009000000}"/>
    <cellStyle name="Обычный 4 2" xfId="22" xr:uid="{00000000-0005-0000-0000-00000A000000}"/>
    <cellStyle name="Обычный 5" xfId="16" xr:uid="{00000000-0005-0000-0000-00000B000000}"/>
    <cellStyle name="Обычный 5 2" xfId="19" xr:uid="{00000000-0005-0000-0000-00000C000000}"/>
    <cellStyle name="Обычный 6" xfId="21" xr:uid="{00000000-0005-0000-0000-00000D000000}"/>
    <cellStyle name="Процентный" xfId="3" builtinId="5"/>
    <cellStyle name="Процентный 2" xfId="5" xr:uid="{00000000-0005-0000-0000-00000F000000}"/>
    <cellStyle name="Процентный 2 2" xfId="23" xr:uid="{00000000-0005-0000-0000-000010000000}"/>
    <cellStyle name="Процентный 3" xfId="18" xr:uid="{00000000-0005-0000-0000-000011000000}"/>
    <cellStyle name="Финансовый" xfId="1" builtinId="3"/>
    <cellStyle name="Финансовый 2" xfId="7" xr:uid="{00000000-0005-0000-0000-000013000000}"/>
    <cellStyle name="Финансовый 2 2" xfId="12" xr:uid="{00000000-0005-0000-0000-000014000000}"/>
    <cellStyle name="Финансовый 3" xfId="10" xr:uid="{00000000-0005-0000-0000-000015000000}"/>
    <cellStyle name="Финансовый 4" xfId="17" xr:uid="{00000000-0005-0000-0000-000016000000}"/>
    <cellStyle name="Финансовый 4 2" xfId="20" xr:uid="{00000000-0005-0000-0000-000017000000}"/>
  </cellStyles>
  <dxfs count="0"/>
  <tableStyles count="0" defaultTableStyle="TableStyleMedium2" defaultPivotStyle="PivotStyleLight16"/>
  <colors>
    <mruColors>
      <color rgb="FF00B050"/>
      <color rgb="FF78B832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744682</xdr:colOff>
      <xdr:row>103</xdr:row>
      <xdr:rowOff>69271</xdr:rowOff>
    </xdr:from>
    <xdr:to>
      <xdr:col>6</xdr:col>
      <xdr:colOff>306337</xdr:colOff>
      <xdr:row>127</xdr:row>
      <xdr:rowOff>19370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257" y="14804446"/>
          <a:ext cx="8486580" cy="4522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280147</xdr:colOff>
      <xdr:row>86</xdr:row>
      <xdr:rowOff>89647</xdr:rowOff>
    </xdr:from>
    <xdr:to>
      <xdr:col>9</xdr:col>
      <xdr:colOff>396513</xdr:colOff>
      <xdr:row>97</xdr:row>
      <xdr:rowOff>145414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597" y="11776822"/>
          <a:ext cx="5878991" cy="2132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C4:G48"/>
  <sheetViews>
    <sheetView topLeftCell="A7" workbookViewId="0">
      <selection activeCell="E53" sqref="E53"/>
    </sheetView>
  </sheetViews>
  <sheetFormatPr defaultRowHeight="15" x14ac:dyDescent="0.25"/>
  <cols>
    <col min="3" max="3" width="12.85546875" style="325" customWidth="1"/>
    <col min="4" max="4" width="31.42578125" style="325" customWidth="1"/>
    <col min="5" max="5" width="55.42578125" bestFit="1" customWidth="1"/>
    <col min="6" max="6" width="12.42578125" bestFit="1" customWidth="1"/>
    <col min="7" max="7" width="29.5703125" bestFit="1" customWidth="1"/>
  </cols>
  <sheetData>
    <row r="4" spans="3:7" ht="15.75" thickBot="1" x14ac:dyDescent="0.3"/>
    <row r="5" spans="3:7" ht="15.75" thickBot="1" x14ac:dyDescent="0.3">
      <c r="C5" s="330" t="s">
        <v>249</v>
      </c>
      <c r="D5" s="331" t="s">
        <v>250</v>
      </c>
      <c r="E5" s="331" t="s">
        <v>242</v>
      </c>
      <c r="F5" s="330" t="s">
        <v>241</v>
      </c>
      <c r="G5" s="332" t="s">
        <v>280</v>
      </c>
    </row>
    <row r="6" spans="3:7" ht="15.75" thickBot="1" x14ac:dyDescent="0.3">
      <c r="C6" s="482" t="s">
        <v>269</v>
      </c>
      <c r="D6" s="483"/>
      <c r="E6" s="483"/>
      <c r="F6" s="483"/>
      <c r="G6" s="484"/>
    </row>
    <row r="7" spans="3:7" ht="15.75" thickBot="1" x14ac:dyDescent="0.3">
      <c r="C7" s="485" t="s">
        <v>251</v>
      </c>
      <c r="D7" s="490" t="s">
        <v>297</v>
      </c>
      <c r="E7" s="328" t="s">
        <v>252</v>
      </c>
      <c r="F7" s="329" t="e">
        <f>#REF!</f>
        <v>#REF!</v>
      </c>
      <c r="G7" s="487" t="s">
        <v>309</v>
      </c>
    </row>
    <row r="8" spans="3:7" ht="15.75" thickBot="1" x14ac:dyDescent="0.3">
      <c r="C8" s="486"/>
      <c r="D8" s="491"/>
      <c r="E8" s="326" t="s">
        <v>253</v>
      </c>
      <c r="F8" s="329" t="e">
        <f>#REF!</f>
        <v>#REF!</v>
      </c>
      <c r="G8" s="487"/>
    </row>
    <row r="9" spans="3:7" ht="15.75" thickBot="1" x14ac:dyDescent="0.3">
      <c r="C9" s="486"/>
      <c r="D9" s="490" t="s">
        <v>298</v>
      </c>
      <c r="E9" s="326" t="s">
        <v>254</v>
      </c>
      <c r="F9" s="327" t="e">
        <f>#REF!</f>
        <v>#REF!</v>
      </c>
      <c r="G9" s="487"/>
    </row>
    <row r="10" spans="3:7" ht="15.75" thickBot="1" x14ac:dyDescent="0.3">
      <c r="C10" s="486"/>
      <c r="D10" s="491"/>
      <c r="E10" s="326" t="s">
        <v>253</v>
      </c>
      <c r="F10" s="327" t="e">
        <f>#REF!</f>
        <v>#REF!</v>
      </c>
      <c r="G10" s="487"/>
    </row>
    <row r="11" spans="3:7" ht="15.75" thickBot="1" x14ac:dyDescent="0.3">
      <c r="C11" s="486"/>
      <c r="D11" s="490" t="s">
        <v>299</v>
      </c>
      <c r="E11" s="326" t="s">
        <v>255</v>
      </c>
      <c r="F11" s="327" t="e">
        <f>#REF!</f>
        <v>#REF!</v>
      </c>
      <c r="G11" s="487"/>
    </row>
    <row r="12" spans="3:7" ht="15.75" thickBot="1" x14ac:dyDescent="0.3">
      <c r="C12" s="486"/>
      <c r="D12" s="491"/>
      <c r="E12" s="326" t="s">
        <v>256</v>
      </c>
      <c r="F12" s="327" t="e">
        <f>#REF!</f>
        <v>#REF!</v>
      </c>
      <c r="G12" s="487"/>
    </row>
    <row r="13" spans="3:7" ht="15.75" thickBot="1" x14ac:dyDescent="0.3">
      <c r="C13" s="486"/>
      <c r="D13" s="490" t="s">
        <v>300</v>
      </c>
      <c r="E13" s="326" t="s">
        <v>257</v>
      </c>
      <c r="F13" s="327" t="e">
        <f>#REF!</f>
        <v>#REF!</v>
      </c>
      <c r="G13" s="487"/>
    </row>
    <row r="14" spans="3:7" ht="15.75" thickBot="1" x14ac:dyDescent="0.3">
      <c r="C14" s="486"/>
      <c r="D14" s="491"/>
      <c r="E14" s="326" t="s">
        <v>258</v>
      </c>
      <c r="F14" s="327" t="e">
        <f>#REF!</f>
        <v>#REF!</v>
      </c>
      <c r="G14" s="487"/>
    </row>
    <row r="15" spans="3:7" ht="15.75" thickBot="1" x14ac:dyDescent="0.3">
      <c r="C15" s="486"/>
      <c r="D15" s="490" t="s">
        <v>301</v>
      </c>
      <c r="E15" s="326" t="s">
        <v>259</v>
      </c>
      <c r="F15" s="327" t="e">
        <f>#REF!</f>
        <v>#REF!</v>
      </c>
      <c r="G15" s="487"/>
    </row>
    <row r="16" spans="3:7" ht="15.75" thickBot="1" x14ac:dyDescent="0.3">
      <c r="C16" s="486"/>
      <c r="D16" s="491"/>
      <c r="E16" s="326" t="s">
        <v>260</v>
      </c>
      <c r="F16" s="327" t="e">
        <f>#REF!</f>
        <v>#REF!</v>
      </c>
      <c r="G16" s="487"/>
    </row>
    <row r="17" spans="3:7" ht="15.75" thickBot="1" x14ac:dyDescent="0.3">
      <c r="C17" s="486"/>
      <c r="D17" s="335" t="s">
        <v>305</v>
      </c>
      <c r="E17" s="326" t="s">
        <v>261</v>
      </c>
      <c r="F17" s="327">
        <v>2</v>
      </c>
      <c r="G17" s="487"/>
    </row>
    <row r="18" spans="3:7" ht="15.75" thickBot="1" x14ac:dyDescent="0.3">
      <c r="C18" s="486"/>
      <c r="D18" s="335" t="s">
        <v>306</v>
      </c>
      <c r="E18" s="326" t="s">
        <v>262</v>
      </c>
      <c r="F18" s="327">
        <v>2</v>
      </c>
      <c r="G18" s="487"/>
    </row>
    <row r="19" spans="3:7" ht="15.75" thickBot="1" x14ac:dyDescent="0.3">
      <c r="C19" s="486"/>
      <c r="D19" s="335" t="s">
        <v>308</v>
      </c>
      <c r="E19" s="326" t="s">
        <v>263</v>
      </c>
      <c r="F19" s="327">
        <v>2</v>
      </c>
      <c r="G19" s="487"/>
    </row>
    <row r="20" spans="3:7" ht="15.75" thickBot="1" x14ac:dyDescent="0.3">
      <c r="C20" s="486"/>
      <c r="D20" s="490" t="s">
        <v>264</v>
      </c>
      <c r="E20" s="326" t="s">
        <v>265</v>
      </c>
      <c r="F20" s="327">
        <v>6</v>
      </c>
      <c r="G20" s="487"/>
    </row>
    <row r="21" spans="3:7" ht="15.75" thickBot="1" x14ac:dyDescent="0.3">
      <c r="C21" s="486"/>
      <c r="D21" s="492"/>
      <c r="E21" s="326" t="s">
        <v>266</v>
      </c>
      <c r="F21" s="327">
        <v>2</v>
      </c>
      <c r="G21" s="487"/>
    </row>
    <row r="22" spans="3:7" ht="15.75" thickBot="1" x14ac:dyDescent="0.3">
      <c r="C22" s="486"/>
      <c r="D22" s="492"/>
      <c r="E22" s="326" t="s">
        <v>267</v>
      </c>
      <c r="F22" s="327">
        <v>6</v>
      </c>
      <c r="G22" s="487"/>
    </row>
    <row r="23" spans="3:7" ht="15.75" thickBot="1" x14ac:dyDescent="0.3">
      <c r="C23" s="489"/>
      <c r="D23" s="491"/>
      <c r="E23" s="326" t="s">
        <v>268</v>
      </c>
      <c r="F23" s="327">
        <v>6</v>
      </c>
      <c r="G23" s="488"/>
    </row>
    <row r="24" spans="3:7" ht="15.75" thickBot="1" x14ac:dyDescent="0.3">
      <c r="C24" s="482" t="s">
        <v>270</v>
      </c>
      <c r="D24" s="483"/>
      <c r="E24" s="483"/>
      <c r="F24" s="483"/>
      <c r="G24" s="484"/>
    </row>
    <row r="25" spans="3:7" ht="15" customHeight="1" thickBot="1" x14ac:dyDescent="0.3">
      <c r="C25" s="485" t="s">
        <v>251</v>
      </c>
      <c r="D25" s="333" t="s">
        <v>302</v>
      </c>
      <c r="E25" s="326" t="s">
        <v>271</v>
      </c>
      <c r="F25" s="333">
        <v>3</v>
      </c>
      <c r="G25" s="495" t="s">
        <v>295</v>
      </c>
    </row>
    <row r="26" spans="3:7" ht="15.75" thickBot="1" x14ac:dyDescent="0.3">
      <c r="C26" s="486"/>
      <c r="D26" s="333" t="s">
        <v>303</v>
      </c>
      <c r="E26" s="326" t="s">
        <v>272</v>
      </c>
      <c r="F26" s="333">
        <v>3</v>
      </c>
      <c r="G26" s="487"/>
    </row>
    <row r="27" spans="3:7" ht="15.75" thickBot="1" x14ac:dyDescent="0.3">
      <c r="C27" s="486"/>
      <c r="D27" s="333" t="s">
        <v>304</v>
      </c>
      <c r="E27" s="326" t="s">
        <v>273</v>
      </c>
      <c r="F27" s="333">
        <v>3</v>
      </c>
      <c r="G27" s="487"/>
    </row>
    <row r="28" spans="3:7" ht="15.75" customHeight="1" thickBot="1" x14ac:dyDescent="0.3">
      <c r="C28" s="485" t="s">
        <v>251</v>
      </c>
      <c r="D28" s="333" t="s">
        <v>103</v>
      </c>
      <c r="E28" s="326" t="s">
        <v>274</v>
      </c>
      <c r="F28" s="333">
        <v>2</v>
      </c>
      <c r="G28" s="487"/>
    </row>
    <row r="29" spans="3:7" ht="22.5" customHeight="1" thickBot="1" x14ac:dyDescent="0.3">
      <c r="C29" s="486"/>
      <c r="D29" s="333" t="s">
        <v>104</v>
      </c>
      <c r="E29" s="326" t="s">
        <v>275</v>
      </c>
      <c r="F29" s="333">
        <v>2</v>
      </c>
      <c r="G29" s="488"/>
    </row>
    <row r="30" spans="3:7" ht="15.75" thickBot="1" x14ac:dyDescent="0.3">
      <c r="C30" s="482" t="s">
        <v>276</v>
      </c>
      <c r="D30" s="483"/>
      <c r="E30" s="483"/>
      <c r="F30" s="483"/>
      <c r="G30" s="484"/>
    </row>
    <row r="31" spans="3:7" ht="15" customHeight="1" thickBot="1" x14ac:dyDescent="0.3">
      <c r="C31" s="485" t="s">
        <v>251</v>
      </c>
      <c r="D31" s="335" t="s">
        <v>297</v>
      </c>
      <c r="E31" s="328" t="s">
        <v>111</v>
      </c>
      <c r="F31" s="334">
        <v>20</v>
      </c>
      <c r="G31" s="495" t="s">
        <v>310</v>
      </c>
    </row>
    <row r="32" spans="3:7" ht="15.75" thickBot="1" x14ac:dyDescent="0.3">
      <c r="C32" s="486"/>
      <c r="D32" s="335" t="s">
        <v>298</v>
      </c>
      <c r="E32" s="326" t="s">
        <v>112</v>
      </c>
      <c r="F32" s="333">
        <v>15</v>
      </c>
      <c r="G32" s="487"/>
    </row>
    <row r="33" spans="3:7" ht="15.75" thickBot="1" x14ac:dyDescent="0.3">
      <c r="C33" s="486"/>
      <c r="D33" s="335" t="s">
        <v>299</v>
      </c>
      <c r="E33" s="326" t="s">
        <v>112</v>
      </c>
      <c r="F33" s="333">
        <v>20</v>
      </c>
      <c r="G33" s="487"/>
    </row>
    <row r="34" spans="3:7" ht="15.75" thickBot="1" x14ac:dyDescent="0.3">
      <c r="C34" s="486"/>
      <c r="D34" s="335" t="s">
        <v>300</v>
      </c>
      <c r="E34" s="326" t="s">
        <v>79</v>
      </c>
      <c r="F34" s="333">
        <v>20</v>
      </c>
      <c r="G34" s="487"/>
    </row>
    <row r="35" spans="3:7" ht="15.75" thickBot="1" x14ac:dyDescent="0.3">
      <c r="C35" s="489"/>
      <c r="D35" s="335" t="s">
        <v>301</v>
      </c>
      <c r="E35" s="326" t="s">
        <v>112</v>
      </c>
      <c r="F35" s="333">
        <v>20</v>
      </c>
      <c r="G35" s="488"/>
    </row>
    <row r="36" spans="3:7" ht="15.75" thickBot="1" x14ac:dyDescent="0.3">
      <c r="C36" s="482" t="s">
        <v>277</v>
      </c>
      <c r="D36" s="483"/>
      <c r="E36" s="483"/>
      <c r="F36" s="483"/>
      <c r="G36" s="484"/>
    </row>
    <row r="37" spans="3:7" ht="15" customHeight="1" thickBot="1" x14ac:dyDescent="0.3">
      <c r="C37" s="485" t="s">
        <v>251</v>
      </c>
      <c r="D37" s="335" t="s">
        <v>306</v>
      </c>
      <c r="E37" s="328" t="s">
        <v>278</v>
      </c>
      <c r="F37" s="334">
        <v>4</v>
      </c>
      <c r="G37" s="495" t="s">
        <v>311</v>
      </c>
    </row>
    <row r="38" spans="3:7" ht="33.75" customHeight="1" thickBot="1" x14ac:dyDescent="0.3">
      <c r="C38" s="489"/>
      <c r="D38" s="335" t="s">
        <v>308</v>
      </c>
      <c r="E38" s="326" t="s">
        <v>279</v>
      </c>
      <c r="F38" s="333">
        <v>2</v>
      </c>
      <c r="G38" s="488"/>
    </row>
    <row r="39" spans="3:7" ht="15.75" thickBot="1" x14ac:dyDescent="0.3">
      <c r="C39" s="482" t="s">
        <v>281</v>
      </c>
      <c r="D39" s="483"/>
      <c r="E39" s="483"/>
      <c r="F39" s="483"/>
      <c r="G39" s="484"/>
    </row>
    <row r="40" spans="3:7" ht="28.5" customHeight="1" thickBot="1" x14ac:dyDescent="0.3">
      <c r="C40" s="496" t="s">
        <v>251</v>
      </c>
      <c r="D40" s="497"/>
      <c r="E40" s="336" t="s">
        <v>215</v>
      </c>
      <c r="F40" s="329" t="e">
        <f>#REF!</f>
        <v>#REF!</v>
      </c>
      <c r="G40" s="337" t="s">
        <v>312</v>
      </c>
    </row>
    <row r="41" spans="3:7" ht="15" customHeight="1" thickBot="1" x14ac:dyDescent="0.3">
      <c r="C41" s="498"/>
      <c r="D41" s="499"/>
      <c r="E41" s="328" t="s">
        <v>290</v>
      </c>
      <c r="F41" s="333" t="s">
        <v>292</v>
      </c>
      <c r="G41" s="337" t="s">
        <v>307</v>
      </c>
    </row>
    <row r="42" spans="3:7" ht="15" customHeight="1" thickBot="1" x14ac:dyDescent="0.3">
      <c r="C42" s="498"/>
      <c r="D42" s="499"/>
      <c r="E42" s="328" t="s">
        <v>291</v>
      </c>
      <c r="F42" s="333">
        <v>500</v>
      </c>
      <c r="G42" s="337" t="s">
        <v>307</v>
      </c>
    </row>
    <row r="43" spans="3:7" ht="15.75" thickBot="1" x14ac:dyDescent="0.3">
      <c r="C43" s="498"/>
      <c r="D43" s="499"/>
      <c r="E43" s="328" t="s">
        <v>81</v>
      </c>
      <c r="F43" s="333">
        <v>22</v>
      </c>
      <c r="G43" s="337" t="s">
        <v>313</v>
      </c>
    </row>
    <row r="44" spans="3:7" ht="24.75" thickBot="1" x14ac:dyDescent="0.3">
      <c r="C44" s="498"/>
      <c r="D44" s="499"/>
      <c r="E44" s="328" t="s">
        <v>282</v>
      </c>
      <c r="F44" s="333" t="e">
        <f>#REF!</f>
        <v>#REF!</v>
      </c>
      <c r="G44" s="337" t="s">
        <v>283</v>
      </c>
    </row>
    <row r="45" spans="3:7" ht="36.75" thickBot="1" x14ac:dyDescent="0.3">
      <c r="C45" s="500"/>
      <c r="D45" s="501"/>
      <c r="E45" s="338" t="s">
        <v>284</v>
      </c>
      <c r="F45" s="333" t="e">
        <f>#REF!</f>
        <v>#REF!</v>
      </c>
      <c r="G45" s="337" t="s">
        <v>285</v>
      </c>
    </row>
    <row r="46" spans="3:7" ht="15.75" hidden="1" thickBot="1" x14ac:dyDescent="0.3">
      <c r="C46" s="482" t="s">
        <v>286</v>
      </c>
      <c r="D46" s="483"/>
      <c r="E46" s="483"/>
      <c r="F46" s="483"/>
      <c r="G46" s="484"/>
    </row>
    <row r="47" spans="3:7" ht="24.75" hidden="1" thickBot="1" x14ac:dyDescent="0.3">
      <c r="C47" s="493" t="s">
        <v>293</v>
      </c>
      <c r="D47" s="494"/>
      <c r="E47" s="338" t="s">
        <v>289</v>
      </c>
      <c r="F47" s="329" t="s">
        <v>287</v>
      </c>
      <c r="G47" s="337" t="s">
        <v>288</v>
      </c>
    </row>
    <row r="48" spans="3:7" ht="24.75" hidden="1" thickBot="1" x14ac:dyDescent="0.3">
      <c r="C48" s="493" t="s">
        <v>293</v>
      </c>
      <c r="D48" s="494"/>
      <c r="E48" s="338" t="s">
        <v>296</v>
      </c>
      <c r="F48" s="329" t="s">
        <v>294</v>
      </c>
      <c r="G48" s="337" t="s">
        <v>288</v>
      </c>
    </row>
  </sheetData>
  <mergeCells count="24">
    <mergeCell ref="C48:D48"/>
    <mergeCell ref="C28:C29"/>
    <mergeCell ref="G25:G29"/>
    <mergeCell ref="C40:D45"/>
    <mergeCell ref="C46:G46"/>
    <mergeCell ref="C47:D47"/>
    <mergeCell ref="C39:G39"/>
    <mergeCell ref="C36:G36"/>
    <mergeCell ref="G31:G35"/>
    <mergeCell ref="C37:C38"/>
    <mergeCell ref="G37:G38"/>
    <mergeCell ref="C30:G30"/>
    <mergeCell ref="C31:C35"/>
    <mergeCell ref="C6:G6"/>
    <mergeCell ref="C24:G24"/>
    <mergeCell ref="C25:C27"/>
    <mergeCell ref="G7:G23"/>
    <mergeCell ref="C7:C23"/>
    <mergeCell ref="D7:D8"/>
    <mergeCell ref="D9:D10"/>
    <mergeCell ref="D11:D12"/>
    <mergeCell ref="D13:D14"/>
    <mergeCell ref="D15:D16"/>
    <mergeCell ref="D20:D23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5"/>
  <dimension ref="A1:Y102"/>
  <sheetViews>
    <sheetView workbookViewId="0">
      <selection activeCell="D2" sqref="D2"/>
    </sheetView>
  </sheetViews>
  <sheetFormatPr defaultColWidth="8.85546875" defaultRowHeight="15" x14ac:dyDescent="0.25"/>
  <cols>
    <col min="1" max="1" width="2" style="209" customWidth="1"/>
    <col min="2" max="2" width="4.140625" style="209" customWidth="1"/>
    <col min="3" max="3" width="82.42578125" style="209" customWidth="1"/>
    <col min="4" max="4" width="17.5703125" style="211" bestFit="1" customWidth="1"/>
    <col min="5" max="5" width="10.5703125" style="209" customWidth="1"/>
    <col min="6" max="6" width="19.42578125" style="209" bestFit="1" customWidth="1"/>
    <col min="7" max="7" width="32.140625" style="209" customWidth="1"/>
    <col min="8" max="8" width="12.140625" style="209" customWidth="1"/>
    <col min="9" max="9" width="19.85546875" style="209" customWidth="1"/>
    <col min="10" max="10" width="13.140625" style="209" bestFit="1" customWidth="1"/>
    <col min="11" max="11" width="20.42578125" style="209" customWidth="1"/>
    <col min="12" max="12" width="16.42578125" style="209" customWidth="1"/>
    <col min="13" max="13" width="17.140625" style="209" customWidth="1"/>
    <col min="14" max="14" width="4.42578125" style="209" customWidth="1"/>
    <col min="15" max="15" width="62.140625" style="212" customWidth="1"/>
    <col min="16" max="17" width="19.5703125" style="209" customWidth="1"/>
    <col min="18" max="18" width="17.42578125" style="209" customWidth="1"/>
    <col min="19" max="19" width="19.85546875" style="209" customWidth="1"/>
    <col min="20" max="20" width="8.85546875" style="209" customWidth="1"/>
    <col min="21" max="21" width="20.140625" style="209" customWidth="1"/>
    <col min="22" max="22" width="11.85546875" style="209" bestFit="1" customWidth="1"/>
    <col min="23" max="23" width="8.85546875" style="209"/>
    <col min="24" max="24" width="36.140625" style="209" customWidth="1"/>
    <col min="25" max="25" width="9.5703125" style="209" bestFit="1" customWidth="1"/>
    <col min="26" max="16384" width="8.85546875" style="209"/>
  </cols>
  <sheetData>
    <row r="1" spans="2:17" x14ac:dyDescent="0.25">
      <c r="B1" s="210"/>
      <c r="C1" s="210"/>
    </row>
    <row r="2" spans="2:17" ht="15.75" x14ac:dyDescent="0.25">
      <c r="B2" s="213"/>
      <c r="C2" s="213" t="s">
        <v>166</v>
      </c>
      <c r="D2" s="214">
        <v>17.52</v>
      </c>
      <c r="E2" s="215" t="s">
        <v>64</v>
      </c>
    </row>
    <row r="3" spans="2:17" ht="16.5" thickBot="1" x14ac:dyDescent="0.3">
      <c r="B3" s="216"/>
      <c r="C3" s="213" t="s">
        <v>167</v>
      </c>
      <c r="D3" s="215">
        <v>365</v>
      </c>
      <c r="E3" s="215" t="s">
        <v>168</v>
      </c>
      <c r="F3" s="217"/>
      <c r="G3" s="218"/>
      <c r="H3" s="217"/>
    </row>
    <row r="4" spans="2:17" ht="32.25" thickBot="1" x14ac:dyDescent="0.3">
      <c r="B4" s="216"/>
      <c r="C4" s="213" t="s">
        <v>169</v>
      </c>
      <c r="D4" s="219">
        <v>65</v>
      </c>
      <c r="E4" s="215" t="s">
        <v>80</v>
      </c>
      <c r="F4" s="217"/>
      <c r="G4" s="220" t="s">
        <v>170</v>
      </c>
      <c r="H4" s="217"/>
    </row>
    <row r="5" spans="2:17" ht="15.75" x14ac:dyDescent="0.25">
      <c r="B5" s="216"/>
      <c r="C5" s="213"/>
      <c r="D5" s="214"/>
      <c r="E5" s="215"/>
      <c r="F5" s="217"/>
      <c r="G5" s="218"/>
      <c r="H5" s="217"/>
    </row>
    <row r="6" spans="2:17" ht="15.75" x14ac:dyDescent="0.25">
      <c r="B6" s="216"/>
      <c r="C6" s="213" t="s">
        <v>171</v>
      </c>
      <c r="D6" s="221">
        <v>100</v>
      </c>
      <c r="E6" s="215" t="s">
        <v>172</v>
      </c>
      <c r="F6" s="217"/>
      <c r="G6" s="218"/>
      <c r="H6" s="217"/>
    </row>
    <row r="7" spans="2:17" ht="15.75" x14ac:dyDescent="0.25">
      <c r="B7" s="216"/>
      <c r="C7" s="213" t="s">
        <v>173</v>
      </c>
      <c r="D7" s="215">
        <v>3.2</v>
      </c>
      <c r="E7" s="215" t="s">
        <v>174</v>
      </c>
      <c r="F7" s="217"/>
      <c r="H7" s="217"/>
    </row>
    <row r="8" spans="2:17" ht="15.75" x14ac:dyDescent="0.25">
      <c r="B8" s="216"/>
      <c r="C8" s="213" t="s">
        <v>175</v>
      </c>
      <c r="D8" s="215">
        <v>5</v>
      </c>
      <c r="E8" s="215" t="s">
        <v>75</v>
      </c>
      <c r="F8" s="217"/>
      <c r="H8" s="217"/>
    </row>
    <row r="9" spans="2:17" ht="15.75" x14ac:dyDescent="0.25">
      <c r="B9" s="216"/>
      <c r="C9" s="213" t="s">
        <v>176</v>
      </c>
      <c r="D9" s="215">
        <v>16</v>
      </c>
      <c r="E9" s="215" t="s">
        <v>75</v>
      </c>
      <c r="F9" s="217"/>
      <c r="G9" s="218"/>
      <c r="H9" s="217"/>
    </row>
    <row r="10" spans="2:17" ht="15.75" x14ac:dyDescent="0.25">
      <c r="B10" s="216"/>
      <c r="C10" s="213" t="s">
        <v>177</v>
      </c>
      <c r="D10" s="221">
        <f>ROUNDUP(D4*1000/(D7*D6*D8*D9),0)</f>
        <v>3</v>
      </c>
      <c r="E10" s="215" t="s">
        <v>75</v>
      </c>
      <c r="F10" s="217"/>
      <c r="G10" s="218"/>
      <c r="H10" s="218"/>
      <c r="I10" s="218"/>
    </row>
    <row r="11" spans="2:17" ht="15.75" x14ac:dyDescent="0.25">
      <c r="B11" s="216"/>
      <c r="C11" s="213"/>
      <c r="D11" s="221"/>
      <c r="E11" s="215"/>
      <c r="F11" s="217"/>
      <c r="G11" s="218"/>
      <c r="H11" s="218"/>
      <c r="I11" s="218"/>
    </row>
    <row r="12" spans="2:17" ht="15.75" x14ac:dyDescent="0.25">
      <c r="B12" s="216"/>
      <c r="C12" s="213" t="s">
        <v>178</v>
      </c>
      <c r="D12" s="221">
        <f>D6*D7*D15*D14*D10/1000</f>
        <v>61.44</v>
      </c>
      <c r="E12" s="215" t="s">
        <v>80</v>
      </c>
      <c r="F12" s="222"/>
      <c r="G12" s="218"/>
      <c r="H12" s="218"/>
      <c r="I12" s="218"/>
    </row>
    <row r="13" spans="2:17" ht="15.75" x14ac:dyDescent="0.25">
      <c r="B13" s="216"/>
      <c r="C13" s="213" t="s">
        <v>179</v>
      </c>
      <c r="D13" s="215">
        <v>0.9</v>
      </c>
      <c r="E13" s="215" t="s">
        <v>180</v>
      </c>
      <c r="F13" s="223" t="s">
        <v>181</v>
      </c>
      <c r="G13" s="218"/>
      <c r="H13" s="217"/>
    </row>
    <row r="14" spans="2:17" ht="15.75" x14ac:dyDescent="0.25">
      <c r="B14" s="216"/>
      <c r="C14" s="224" t="s">
        <v>182</v>
      </c>
      <c r="D14" s="215">
        <f>ROUND((D4*1000/D10)/(D15*D6*D7),0)</f>
        <v>4</v>
      </c>
      <c r="E14" s="215"/>
      <c r="G14" s="218"/>
      <c r="H14" s="217"/>
    </row>
    <row r="15" spans="2:17" ht="15.75" x14ac:dyDescent="0.25">
      <c r="B15" s="216"/>
      <c r="C15" s="224" t="s">
        <v>183</v>
      </c>
      <c r="D15" s="215">
        <f>D9</f>
        <v>16</v>
      </c>
      <c r="E15" s="215"/>
      <c r="F15" s="222"/>
      <c r="G15" s="218"/>
      <c r="H15" s="217"/>
    </row>
    <row r="16" spans="2:17" ht="15.75" x14ac:dyDescent="0.25">
      <c r="B16" s="216"/>
      <c r="C16" s="224"/>
      <c r="D16" s="215"/>
      <c r="E16" s="215"/>
      <c r="F16" s="222"/>
      <c r="G16" s="218"/>
      <c r="H16" s="217"/>
      <c r="N16" s="225"/>
      <c r="O16" s="226"/>
      <c r="P16" s="225"/>
      <c r="Q16" s="225"/>
    </row>
    <row r="17" spans="2:25" ht="15.75" x14ac:dyDescent="0.25">
      <c r="B17" s="216"/>
      <c r="C17" s="224" t="s">
        <v>184</v>
      </c>
      <c r="D17" s="215">
        <f>D7*D15</f>
        <v>51.2</v>
      </c>
      <c r="E17" s="215"/>
      <c r="F17" s="217"/>
      <c r="G17" s="218"/>
      <c r="H17" s="217"/>
      <c r="N17" s="225"/>
      <c r="O17" s="226"/>
      <c r="P17" s="225"/>
      <c r="Q17" s="225"/>
    </row>
    <row r="18" spans="2:25" ht="15.75" x14ac:dyDescent="0.25">
      <c r="B18" s="216"/>
      <c r="C18" s="224"/>
      <c r="D18" s="215"/>
      <c r="E18" s="215"/>
      <c r="F18" s="222"/>
      <c r="G18" s="218"/>
      <c r="H18" s="217"/>
      <c r="N18" s="225"/>
      <c r="O18" s="512"/>
      <c r="P18" s="225"/>
      <c r="Q18" s="225"/>
    </row>
    <row r="19" spans="2:25" ht="15.75" x14ac:dyDescent="0.25">
      <c r="B19" s="216"/>
      <c r="C19" s="213"/>
      <c r="D19" s="215"/>
      <c r="E19" s="215"/>
      <c r="F19" s="209">
        <v>3</v>
      </c>
      <c r="G19" s="227" t="s">
        <v>65</v>
      </c>
      <c r="H19" s="209">
        <v>15</v>
      </c>
      <c r="N19" s="225"/>
      <c r="O19" s="512"/>
      <c r="P19" s="225"/>
      <c r="Q19" s="225"/>
    </row>
    <row r="20" spans="2:25" ht="31.5" x14ac:dyDescent="0.25">
      <c r="B20" s="228" t="s">
        <v>33</v>
      </c>
      <c r="C20" s="228" t="s">
        <v>0</v>
      </c>
      <c r="D20" s="229" t="s">
        <v>68</v>
      </c>
      <c r="E20" s="228" t="s">
        <v>69</v>
      </c>
      <c r="F20" s="229" t="s">
        <v>70</v>
      </c>
      <c r="G20" s="229" t="s">
        <v>71</v>
      </c>
      <c r="H20" s="229" t="s">
        <v>72</v>
      </c>
      <c r="I20" s="229" t="s">
        <v>185</v>
      </c>
      <c r="K20" s="209" t="s">
        <v>66</v>
      </c>
      <c r="L20" s="230">
        <f>D2*1000</f>
        <v>17520</v>
      </c>
      <c r="N20" s="225"/>
      <c r="O20" s="226"/>
      <c r="P20" s="225"/>
      <c r="Q20" s="225"/>
    </row>
    <row r="21" spans="2:25" ht="15.75" x14ac:dyDescent="0.25">
      <c r="B21" s="231">
        <v>1</v>
      </c>
      <c r="C21" s="224" t="str">
        <f>CONCATENATE("Фотоэлектрические модули ",TEXT(D3,0)," Вт")</f>
        <v>Фотоэлектрические модули 365 Вт</v>
      </c>
      <c r="D21" s="231" t="s">
        <v>75</v>
      </c>
      <c r="E21" s="232">
        <v>28</v>
      </c>
      <c r="F21" s="233">
        <f>0.28*D3*L21</f>
        <v>6643</v>
      </c>
      <c r="G21" s="234">
        <f>E21*F21</f>
        <v>186004</v>
      </c>
      <c r="H21" s="235">
        <f>G21/$L$20/$L$21</f>
        <v>0.16333333333333333</v>
      </c>
      <c r="I21" s="236">
        <f>G21/$G$47</f>
        <v>4.8616082706042986E-2</v>
      </c>
      <c r="K21" s="209" t="s">
        <v>186</v>
      </c>
      <c r="L21" s="237">
        <v>65</v>
      </c>
      <c r="N21" s="238"/>
      <c r="O21" s="226"/>
      <c r="P21" s="239"/>
      <c r="Q21" s="240"/>
      <c r="R21" s="241"/>
      <c r="U21" s="241"/>
      <c r="Y21" s="241"/>
    </row>
    <row r="22" spans="2:25" ht="20.25" customHeight="1" x14ac:dyDescent="0.25">
      <c r="B22" s="231">
        <v>2</v>
      </c>
      <c r="C22" s="224" t="s">
        <v>187</v>
      </c>
      <c r="D22" s="231" t="s">
        <v>75</v>
      </c>
      <c r="E22" s="232">
        <v>1</v>
      </c>
      <c r="F22" s="242">
        <f>270000</f>
        <v>270000</v>
      </c>
      <c r="G22" s="234">
        <f>F22*E22</f>
        <v>270000</v>
      </c>
      <c r="H22" s="235">
        <f t="shared" ref="H22:H47" si="0">G22/$L$20/$L$21</f>
        <v>0.23709167544783985</v>
      </c>
      <c r="I22" s="236">
        <f>G22/$G$47</f>
        <v>7.0570215321345817E-2</v>
      </c>
      <c r="K22" s="209" t="s">
        <v>188</v>
      </c>
      <c r="L22" s="243">
        <v>78</v>
      </c>
      <c r="N22" s="238"/>
      <c r="O22" s="226"/>
      <c r="P22" s="239"/>
      <c r="Q22" s="240"/>
      <c r="R22" s="241"/>
      <c r="U22" s="241"/>
      <c r="Y22" s="241"/>
    </row>
    <row r="23" spans="2:25" ht="15.75" x14ac:dyDescent="0.25">
      <c r="B23" s="231">
        <v>3</v>
      </c>
      <c r="C23" s="224" t="s">
        <v>237</v>
      </c>
      <c r="D23" s="231" t="s">
        <v>75</v>
      </c>
      <c r="E23" s="244">
        <v>3</v>
      </c>
      <c r="F23" s="242">
        <f>(440)*L22</f>
        <v>34320</v>
      </c>
      <c r="G23" s="234">
        <f t="shared" ref="G23:G29" si="1">F23*E23</f>
        <v>102960</v>
      </c>
      <c r="H23" s="235">
        <f t="shared" si="0"/>
        <v>9.0410958904109592E-2</v>
      </c>
      <c r="I23" s="236">
        <f>G23/$G$47</f>
        <v>2.6910775442539871E-2</v>
      </c>
      <c r="N23" s="238"/>
      <c r="O23" s="226"/>
      <c r="P23" s="239"/>
      <c r="Q23" s="240"/>
      <c r="R23" s="241"/>
      <c r="U23" s="241"/>
      <c r="Y23" s="241"/>
    </row>
    <row r="24" spans="2:25" ht="15.75" x14ac:dyDescent="0.25">
      <c r="B24" s="231">
        <v>4</v>
      </c>
      <c r="C24" s="224" t="s">
        <v>190</v>
      </c>
      <c r="D24" s="231" t="s">
        <v>75</v>
      </c>
      <c r="E24" s="244">
        <v>1</v>
      </c>
      <c r="F24" s="242">
        <f>(165)*L22</f>
        <v>12870</v>
      </c>
      <c r="G24" s="234">
        <f>F24*E24</f>
        <v>12870</v>
      </c>
      <c r="H24" s="235"/>
      <c r="I24" s="236"/>
      <c r="N24" s="238"/>
      <c r="O24" s="226"/>
      <c r="P24" s="239"/>
      <c r="Q24" s="240"/>
      <c r="R24" s="241"/>
      <c r="U24" s="241"/>
      <c r="Y24" s="241"/>
    </row>
    <row r="25" spans="2:25" ht="15.75" x14ac:dyDescent="0.25">
      <c r="B25" s="231">
        <v>5</v>
      </c>
      <c r="C25" s="245" t="s">
        <v>238</v>
      </c>
      <c r="D25" s="231" t="s">
        <v>75</v>
      </c>
      <c r="E25" s="244">
        <v>3</v>
      </c>
      <c r="F25" s="242">
        <f>(2873)*L22</f>
        <v>224094</v>
      </c>
      <c r="G25" s="234">
        <f>F25*E25</f>
        <v>672282</v>
      </c>
      <c r="H25" s="235"/>
      <c r="I25" s="236"/>
      <c r="N25" s="238"/>
      <c r="O25" s="226"/>
      <c r="P25" s="239"/>
      <c r="Q25" s="240"/>
      <c r="R25" s="241"/>
      <c r="U25" s="241"/>
      <c r="Y25" s="241"/>
    </row>
    <row r="26" spans="2:25" ht="15.75" x14ac:dyDescent="0.25">
      <c r="B26" s="231">
        <v>6</v>
      </c>
      <c r="C26" s="224" t="s">
        <v>192</v>
      </c>
      <c r="D26" s="231" t="s">
        <v>75</v>
      </c>
      <c r="E26" s="244">
        <v>1</v>
      </c>
      <c r="F26" s="242">
        <v>30000</v>
      </c>
      <c r="G26" s="242">
        <v>30000</v>
      </c>
      <c r="H26" s="235"/>
      <c r="I26" s="236"/>
      <c r="N26" s="238"/>
      <c r="O26" s="226"/>
      <c r="P26" s="239"/>
      <c r="Q26" s="240"/>
      <c r="R26" s="241"/>
      <c r="U26" s="241"/>
      <c r="Y26" s="241"/>
    </row>
    <row r="27" spans="2:25" ht="15.75" x14ac:dyDescent="0.25">
      <c r="B27" s="231">
        <v>7</v>
      </c>
      <c r="C27" s="246" t="str">
        <f>CONCATENATE("аккумулятор LiFePO4 GBS",TEXT(D6,0)," Ач +ЗИП5%")</f>
        <v>аккумулятор LiFePO4 GBS100 Ач +ЗИП5%</v>
      </c>
      <c r="D27" s="231" t="s">
        <v>75</v>
      </c>
      <c r="E27" s="247">
        <f>ROUND(D15*D14*D10*1,0)</f>
        <v>192</v>
      </c>
      <c r="F27" s="248">
        <f>D13*D6*L21</f>
        <v>5850</v>
      </c>
      <c r="G27" s="234">
        <f t="shared" si="1"/>
        <v>1123200</v>
      </c>
      <c r="H27" s="235">
        <f t="shared" si="0"/>
        <v>0.98630136986301364</v>
      </c>
      <c r="I27" s="236">
        <f t="shared" ref="I27:I33" si="2">G27/$G$47</f>
        <v>0.2935720957367986</v>
      </c>
      <c r="L27" s="249"/>
      <c r="N27" s="238"/>
      <c r="O27" s="226"/>
      <c r="P27" s="239"/>
      <c r="Q27" s="240"/>
      <c r="R27" s="241"/>
      <c r="U27" s="241"/>
      <c r="Y27" s="241"/>
    </row>
    <row r="28" spans="2:25" ht="15.75" x14ac:dyDescent="0.25">
      <c r="B28" s="231">
        <v>8</v>
      </c>
      <c r="C28" s="250" t="s">
        <v>193</v>
      </c>
      <c r="D28" s="231" t="s">
        <v>75</v>
      </c>
      <c r="E28" s="244">
        <f>E27</f>
        <v>192</v>
      </c>
      <c r="F28" s="242">
        <v>1200</v>
      </c>
      <c r="G28" s="234">
        <f t="shared" si="1"/>
        <v>230400</v>
      </c>
      <c r="H28" s="235">
        <f t="shared" si="0"/>
        <v>0.20231822971548999</v>
      </c>
      <c r="I28" s="236">
        <f t="shared" si="2"/>
        <v>6.021991707421509E-2</v>
      </c>
      <c r="L28" s="249"/>
      <c r="N28" s="238"/>
      <c r="O28" s="226"/>
      <c r="P28" s="239"/>
      <c r="Q28" s="240"/>
      <c r="R28" s="241"/>
      <c r="U28" s="241"/>
      <c r="Y28" s="241"/>
    </row>
    <row r="29" spans="2:25" ht="15.75" x14ac:dyDescent="0.25">
      <c r="B29" s="231">
        <v>9</v>
      </c>
      <c r="C29" s="250" t="s">
        <v>194</v>
      </c>
      <c r="D29" s="231" t="s">
        <v>75</v>
      </c>
      <c r="E29" s="244">
        <f>D10</f>
        <v>3</v>
      </c>
      <c r="F29" s="242">
        <v>5000</v>
      </c>
      <c r="G29" s="234">
        <f t="shared" si="1"/>
        <v>15000</v>
      </c>
      <c r="H29" s="235">
        <f t="shared" si="0"/>
        <v>1.3171759747102213E-2</v>
      </c>
      <c r="I29" s="236">
        <f t="shared" si="2"/>
        <v>3.9205675178525454E-3</v>
      </c>
      <c r="L29" s="249"/>
      <c r="N29" s="225"/>
      <c r="O29" s="226"/>
      <c r="P29" s="239"/>
      <c r="Q29" s="240"/>
      <c r="R29" s="241"/>
      <c r="U29" s="241"/>
      <c r="Y29" s="241"/>
    </row>
    <row r="30" spans="2:25" ht="15.75" x14ac:dyDescent="0.25">
      <c r="B30" s="231">
        <v>10</v>
      </c>
      <c r="C30" s="250" t="s">
        <v>195</v>
      </c>
      <c r="D30" s="231" t="s">
        <v>75</v>
      </c>
      <c r="E30" s="244">
        <v>1</v>
      </c>
      <c r="F30" s="242">
        <v>25967</v>
      </c>
      <c r="G30" s="234">
        <f>F30*E30</f>
        <v>25967</v>
      </c>
      <c r="H30" s="235">
        <f t="shared" si="0"/>
        <v>2.2802072356866876E-2</v>
      </c>
      <c r="I30" s="236">
        <f t="shared" si="2"/>
        <v>6.7870251157384695E-3</v>
      </c>
      <c r="N30" s="225"/>
      <c r="O30" s="226"/>
      <c r="P30" s="239"/>
      <c r="Q30" s="240"/>
      <c r="R30" s="241"/>
      <c r="U30" s="241"/>
      <c r="Y30" s="241"/>
    </row>
    <row r="31" spans="2:25" ht="15.75" x14ac:dyDescent="0.25">
      <c r="B31" s="231">
        <v>11</v>
      </c>
      <c r="C31" s="250" t="s">
        <v>196</v>
      </c>
      <c r="D31" s="231" t="s">
        <v>75</v>
      </c>
      <c r="E31" s="244">
        <f>E29</f>
        <v>3</v>
      </c>
      <c r="F31" s="242">
        <v>10300</v>
      </c>
      <c r="G31" s="234">
        <f>F31*E31</f>
        <v>30900</v>
      </c>
      <c r="H31" s="235">
        <f t="shared" si="0"/>
        <v>2.713382507903056E-2</v>
      </c>
      <c r="I31" s="236">
        <f t="shared" si="2"/>
        <v>8.0763690867762424E-3</v>
      </c>
      <c r="N31" s="225"/>
      <c r="O31" s="226"/>
      <c r="P31" s="225"/>
      <c r="Q31" s="240"/>
      <c r="R31" s="241"/>
      <c r="U31" s="241"/>
      <c r="Y31" s="241"/>
    </row>
    <row r="32" spans="2:25" ht="15.75" x14ac:dyDescent="0.25">
      <c r="B32" s="231">
        <v>12</v>
      </c>
      <c r="C32" s="250" t="s">
        <v>197</v>
      </c>
      <c r="D32" s="231" t="s">
        <v>75</v>
      </c>
      <c r="E32" s="244">
        <f>E28</f>
        <v>192</v>
      </c>
      <c r="F32" s="242">
        <v>400</v>
      </c>
      <c r="G32" s="234">
        <f>F32*E32</f>
        <v>76800</v>
      </c>
      <c r="H32" s="235">
        <f t="shared" si="0"/>
        <v>6.7439409905163325E-2</v>
      </c>
      <c r="I32" s="236">
        <f t="shared" si="2"/>
        <v>2.007330569140503E-2</v>
      </c>
      <c r="N32" s="225"/>
      <c r="O32" s="226"/>
      <c r="P32" s="251"/>
      <c r="Q32" s="240"/>
      <c r="R32" s="241"/>
      <c r="U32" s="241"/>
      <c r="Y32" s="241"/>
    </row>
    <row r="33" spans="2:25" ht="15.75" x14ac:dyDescent="0.25">
      <c r="B33" s="231">
        <v>13</v>
      </c>
      <c r="C33" s="250" t="s">
        <v>198</v>
      </c>
      <c r="D33" s="231" t="s">
        <v>199</v>
      </c>
      <c r="E33" s="244">
        <v>1</v>
      </c>
      <c r="F33" s="248"/>
      <c r="G33" s="234">
        <f>100000/358*E27</f>
        <v>53631.284916201119</v>
      </c>
      <c r="H33" s="235">
        <f t="shared" si="0"/>
        <v>4.7094559989639198E-2</v>
      </c>
      <c r="I33" s="236">
        <f t="shared" si="2"/>
        <v>1.4017671572210217E-2</v>
      </c>
      <c r="N33" s="225"/>
      <c r="O33" s="226"/>
      <c r="P33" s="251"/>
      <c r="Q33" s="240"/>
      <c r="R33" s="241"/>
      <c r="U33" s="241"/>
      <c r="Y33" s="241"/>
    </row>
    <row r="34" spans="2:25" ht="15.75" x14ac:dyDescent="0.25">
      <c r="B34" s="231"/>
      <c r="C34" s="252" t="s">
        <v>239</v>
      </c>
      <c r="D34" s="231" t="s">
        <v>75</v>
      </c>
      <c r="E34" s="244">
        <v>1</v>
      </c>
      <c r="F34" s="248">
        <f>700000/1.18</f>
        <v>593220.3389830509</v>
      </c>
      <c r="G34" s="234">
        <f t="shared" ref="G34:G42" si="3">F34*E34</f>
        <v>593220.3389830509</v>
      </c>
      <c r="H34" s="235"/>
      <c r="I34" s="236"/>
      <c r="Q34" s="253"/>
      <c r="R34" s="241"/>
      <c r="U34" s="241"/>
      <c r="Y34" s="241"/>
    </row>
    <row r="35" spans="2:25" ht="15.75" x14ac:dyDescent="0.25">
      <c r="B35" s="231"/>
      <c r="C35" s="252" t="s">
        <v>240</v>
      </c>
      <c r="D35" s="231" t="s">
        <v>75</v>
      </c>
      <c r="E35" s="244">
        <v>1</v>
      </c>
      <c r="F35" s="248">
        <f>150000/1.18</f>
        <v>127118.64406779662</v>
      </c>
      <c r="G35" s="234">
        <f t="shared" si="3"/>
        <v>127118.64406779662</v>
      </c>
      <c r="H35" s="235"/>
      <c r="I35" s="236"/>
      <c r="Q35" s="253"/>
      <c r="R35" s="241"/>
      <c r="U35" s="241"/>
      <c r="Y35" s="241"/>
    </row>
    <row r="36" spans="2:25" ht="15.75" x14ac:dyDescent="0.25">
      <c r="B36" s="231"/>
      <c r="C36" s="254" t="s">
        <v>201</v>
      </c>
      <c r="D36" s="231"/>
      <c r="E36" s="244"/>
      <c r="F36" s="248"/>
      <c r="G36" s="234"/>
      <c r="H36" s="235"/>
      <c r="I36" s="236"/>
      <c r="Q36" s="253"/>
      <c r="R36" s="241"/>
      <c r="U36" s="241"/>
      <c r="Y36" s="241"/>
    </row>
    <row r="37" spans="2:25" ht="15.75" x14ac:dyDescent="0.25">
      <c r="B37" s="231">
        <v>17</v>
      </c>
      <c r="C37" s="224" t="s">
        <v>202</v>
      </c>
      <c r="D37" s="231" t="s">
        <v>203</v>
      </c>
      <c r="E37" s="255">
        <v>150</v>
      </c>
      <c r="F37" s="242">
        <f>0.71*L22/1.18</f>
        <v>46.932203389830505</v>
      </c>
      <c r="G37" s="234">
        <f t="shared" si="3"/>
        <v>7039.8305084745762</v>
      </c>
      <c r="H37" s="235">
        <f t="shared" si="0"/>
        <v>6.1817970745298356E-3</v>
      </c>
      <c r="I37" s="236">
        <f>G37/$G$47</f>
        <v>1.840008721514186E-3</v>
      </c>
      <c r="M37" s="249"/>
      <c r="Q37" s="253"/>
      <c r="R37" s="241"/>
      <c r="U37" s="241"/>
    </row>
    <row r="38" spans="2:25" ht="15.75" x14ac:dyDescent="0.25">
      <c r="B38" s="231">
        <v>18</v>
      </c>
      <c r="C38" s="224" t="s">
        <v>96</v>
      </c>
      <c r="D38" s="231" t="s">
        <v>75</v>
      </c>
      <c r="E38" s="244">
        <f>F19*2</f>
        <v>6</v>
      </c>
      <c r="F38" s="256">
        <f>0.74*L22</f>
        <v>57.72</v>
      </c>
      <c r="G38" s="234">
        <f t="shared" si="3"/>
        <v>346.32</v>
      </c>
      <c r="H38" s="235">
        <f t="shared" si="0"/>
        <v>3.0410958904109585E-4</v>
      </c>
      <c r="I38" s="236">
        <f>G38/$G$47</f>
        <v>9.0518062852179559E-5</v>
      </c>
      <c r="P38" s="253"/>
      <c r="Q38" s="257"/>
      <c r="R38" s="257"/>
      <c r="U38" s="241"/>
    </row>
    <row r="39" spans="2:25" ht="15.75" x14ac:dyDescent="0.25">
      <c r="B39" s="231">
        <v>21</v>
      </c>
      <c r="C39" s="224" t="s">
        <v>204</v>
      </c>
      <c r="D39" s="231" t="s">
        <v>75</v>
      </c>
      <c r="E39" s="244">
        <v>1</v>
      </c>
      <c r="F39" s="258">
        <v>50000</v>
      </c>
      <c r="G39" s="234">
        <f t="shared" si="3"/>
        <v>50000</v>
      </c>
      <c r="H39" s="235">
        <f t="shared" si="0"/>
        <v>4.3905865823674041E-2</v>
      </c>
      <c r="I39" s="236">
        <f>G39/$G$47</f>
        <v>1.3068558392841817E-2</v>
      </c>
      <c r="L39" s="259"/>
      <c r="M39" s="259"/>
      <c r="S39" s="260"/>
      <c r="T39" s="260"/>
    </row>
    <row r="40" spans="2:25" ht="15.75" x14ac:dyDescent="0.25">
      <c r="B40" s="231">
        <v>26</v>
      </c>
      <c r="C40" s="224" t="s">
        <v>205</v>
      </c>
      <c r="D40" s="261" t="s">
        <v>206</v>
      </c>
      <c r="E40" s="244">
        <v>1</v>
      </c>
      <c r="F40" s="262">
        <f>5000*D2/1.18</f>
        <v>74237.288135593219</v>
      </c>
      <c r="G40" s="234">
        <f t="shared" si="3"/>
        <v>74237.288135593219</v>
      </c>
      <c r="H40" s="235">
        <f t="shared" si="0"/>
        <v>6.51890482398957E-2</v>
      </c>
      <c r="I40" s="236">
        <f>G40/$G$47</f>
        <v>1.9403486698524462E-2</v>
      </c>
      <c r="L40" s="259"/>
      <c r="M40" s="263"/>
      <c r="N40" s="259"/>
      <c r="S40" s="260"/>
      <c r="T40" s="260"/>
    </row>
    <row r="41" spans="2:25" ht="15.75" x14ac:dyDescent="0.25">
      <c r="B41" s="231"/>
      <c r="C41" s="224" t="s">
        <v>207</v>
      </c>
      <c r="D41" s="261" t="s">
        <v>75</v>
      </c>
      <c r="E41" s="244">
        <v>12</v>
      </c>
      <c r="F41" s="262">
        <v>12000</v>
      </c>
      <c r="G41" s="234">
        <f t="shared" si="3"/>
        <v>144000</v>
      </c>
      <c r="H41" s="235"/>
      <c r="I41" s="253"/>
      <c r="L41" s="259"/>
      <c r="M41" s="263"/>
      <c r="N41" s="259"/>
      <c r="S41" s="260"/>
      <c r="T41" s="260"/>
    </row>
    <row r="42" spans="2:25" ht="15.75" x14ac:dyDescent="0.25">
      <c r="B42" s="231"/>
      <c r="C42" s="264" t="s">
        <v>208</v>
      </c>
      <c r="D42" s="228"/>
      <c r="E42" s="265">
        <v>2</v>
      </c>
      <c r="F42" s="266">
        <v>375000</v>
      </c>
      <c r="G42" s="234">
        <f t="shared" si="3"/>
        <v>750000</v>
      </c>
      <c r="H42" s="235">
        <f t="shared" si="0"/>
        <v>0.65858798735511059</v>
      </c>
      <c r="I42" s="253"/>
      <c r="L42" s="267"/>
      <c r="M42" s="267"/>
      <c r="N42" s="268"/>
      <c r="O42" s="269"/>
      <c r="P42" s="263"/>
      <c r="Q42" s="263"/>
      <c r="R42" s="263"/>
      <c r="S42" s="260"/>
      <c r="T42" s="260"/>
      <c r="U42" s="263"/>
    </row>
    <row r="43" spans="2:25" ht="15.75" x14ac:dyDescent="0.25">
      <c r="B43" s="231"/>
      <c r="C43" s="264" t="s">
        <v>92</v>
      </c>
      <c r="D43" s="228"/>
      <c r="E43" s="265">
        <v>1</v>
      </c>
      <c r="F43" s="262">
        <v>150000</v>
      </c>
      <c r="G43" s="234">
        <f>E43*F43</f>
        <v>150000</v>
      </c>
      <c r="H43" s="235">
        <f t="shared" si="0"/>
        <v>0.13171759747102213</v>
      </c>
      <c r="I43" s="253"/>
      <c r="M43" s="263"/>
      <c r="N43" s="260"/>
      <c r="O43" s="270"/>
      <c r="P43" s="260"/>
      <c r="Q43" s="260"/>
      <c r="R43" s="260"/>
      <c r="S43" s="260"/>
      <c r="T43" s="260"/>
      <c r="U43" s="260"/>
    </row>
    <row r="44" spans="2:25" ht="15.75" x14ac:dyDescent="0.25">
      <c r="B44" s="231"/>
      <c r="C44" s="264" t="s">
        <v>209</v>
      </c>
      <c r="D44" s="228"/>
      <c r="E44" s="265">
        <v>0</v>
      </c>
      <c r="F44" s="262">
        <v>2500000</v>
      </c>
      <c r="G44" s="234">
        <f>F44*E44</f>
        <v>0</v>
      </c>
      <c r="H44" s="235">
        <f t="shared" si="0"/>
        <v>0</v>
      </c>
      <c r="I44" s="253"/>
      <c r="M44" s="263"/>
      <c r="N44" s="260"/>
      <c r="O44" s="270"/>
      <c r="P44" s="260"/>
      <c r="Q44" s="260"/>
      <c r="R44" s="260"/>
      <c r="S44" s="260"/>
      <c r="T44" s="260"/>
      <c r="U44" s="260"/>
    </row>
    <row r="45" spans="2:25" ht="21" customHeight="1" x14ac:dyDescent="0.25">
      <c r="B45" s="231"/>
      <c r="C45" s="271"/>
      <c r="D45" s="228"/>
      <c r="E45" s="272"/>
      <c r="F45" s="262"/>
      <c r="G45" s="234">
        <f>F45</f>
        <v>0</v>
      </c>
      <c r="H45" s="235">
        <f t="shared" si="0"/>
        <v>0</v>
      </c>
      <c r="I45" s="253"/>
      <c r="M45" s="263"/>
      <c r="N45" s="260"/>
      <c r="O45" s="270"/>
      <c r="P45" s="260"/>
      <c r="Q45" s="260"/>
      <c r="R45" s="260"/>
      <c r="S45" s="260"/>
      <c r="T45" s="260"/>
      <c r="U45" s="260"/>
    </row>
    <row r="46" spans="2:25" ht="15.75" x14ac:dyDescent="0.25">
      <c r="B46" s="231"/>
      <c r="C46" s="264"/>
      <c r="D46" s="228"/>
      <c r="E46" s="272"/>
      <c r="F46" s="262"/>
      <c r="G46" s="234"/>
      <c r="H46" s="235"/>
      <c r="I46" s="234" t="e">
        <f>G49-G21-G23-#REF!</f>
        <v>#REF!</v>
      </c>
      <c r="L46" s="259"/>
      <c r="M46" s="260"/>
      <c r="O46" s="270"/>
      <c r="P46" s="260"/>
      <c r="Q46" s="260"/>
      <c r="R46" s="260"/>
      <c r="S46" s="260"/>
      <c r="T46" s="260"/>
      <c r="U46" s="260"/>
    </row>
    <row r="47" spans="2:25" ht="15.75" x14ac:dyDescent="0.25">
      <c r="B47" s="231"/>
      <c r="C47" s="264" t="s">
        <v>0</v>
      </c>
      <c r="D47" s="228"/>
      <c r="E47" s="265"/>
      <c r="F47" s="262"/>
      <c r="G47" s="234">
        <f>SUM(G21:G41)</f>
        <v>3825976.7066111164</v>
      </c>
      <c r="H47" s="235">
        <f t="shared" si="0"/>
        <v>3.3596563984993999</v>
      </c>
      <c r="I47" s="234">
        <f>G47*(1+0.1)</f>
        <v>4208574.3772722287</v>
      </c>
      <c r="L47" s="257"/>
      <c r="M47" s="260"/>
      <c r="O47" s="270"/>
      <c r="P47" s="260"/>
      <c r="Q47" s="260"/>
      <c r="R47" s="260"/>
      <c r="S47" s="260"/>
      <c r="T47" s="260"/>
      <c r="U47" s="260"/>
    </row>
    <row r="48" spans="2:25" ht="15.75" x14ac:dyDescent="0.2">
      <c r="B48" s="231"/>
      <c r="C48" s="273" t="s">
        <v>151</v>
      </c>
      <c r="D48" s="274" t="s">
        <v>86</v>
      </c>
      <c r="E48" s="272">
        <v>0.03</v>
      </c>
      <c r="F48" s="275"/>
      <c r="G48" s="276">
        <f>(SUM(G42:G47))*E48</f>
        <v>141779.30119833347</v>
      </c>
      <c r="H48" s="277">
        <f t="shared" ref="H48:H53" si="4">G48/$L$20/$L$22</f>
        <v>0.10374904958313828</v>
      </c>
      <c r="I48" s="259"/>
      <c r="L48" s="278"/>
      <c r="M48" s="263"/>
      <c r="N48" s="260"/>
      <c r="O48" s="270"/>
      <c r="P48" s="260"/>
      <c r="Q48" s="260"/>
      <c r="R48" s="260"/>
      <c r="S48" s="260"/>
      <c r="T48" s="260"/>
      <c r="U48" s="260"/>
    </row>
    <row r="49" spans="1:24" ht="15.75" x14ac:dyDescent="0.25">
      <c r="B49" s="213"/>
      <c r="C49" s="264" t="s">
        <v>87</v>
      </c>
      <c r="D49" s="231"/>
      <c r="E49" s="213"/>
      <c r="F49" s="213"/>
      <c r="G49" s="279">
        <f>SUM(G42:G48)</f>
        <v>4867756.0078094499</v>
      </c>
      <c r="H49" s="280">
        <f t="shared" si="4"/>
        <v>3.5620507023544157</v>
      </c>
      <c r="I49" s="259">
        <v>87109134.633479342</v>
      </c>
      <c r="M49" s="263"/>
      <c r="N49" s="260"/>
      <c r="O49" s="270"/>
      <c r="P49" s="260"/>
      <c r="Q49" s="260"/>
      <c r="R49" s="260"/>
      <c r="S49" s="260"/>
      <c r="T49" s="260"/>
      <c r="U49" s="260"/>
    </row>
    <row r="50" spans="1:24" ht="15.75" x14ac:dyDescent="0.25">
      <c r="B50" s="213"/>
      <c r="C50" s="264" t="s">
        <v>88</v>
      </c>
      <c r="D50" s="231" t="s">
        <v>86</v>
      </c>
      <c r="E50" s="281">
        <v>0.1</v>
      </c>
      <c r="F50" s="213"/>
      <c r="G50" s="282">
        <f>G49*E50</f>
        <v>486775.60078094504</v>
      </c>
      <c r="H50" s="280">
        <f t="shared" si="4"/>
        <v>0.35620507023544157</v>
      </c>
      <c r="I50" s="259">
        <v>13066370.195021901</v>
      </c>
      <c r="M50" s="263"/>
      <c r="N50" s="260"/>
      <c r="O50" s="270"/>
      <c r="P50" s="260"/>
      <c r="Q50" s="260"/>
      <c r="R50" s="260"/>
      <c r="S50" s="260"/>
      <c r="T50" s="260"/>
      <c r="U50" s="260"/>
    </row>
    <row r="51" spans="1:24" ht="15.75" x14ac:dyDescent="0.25">
      <c r="B51" s="213"/>
      <c r="C51" s="264" t="s">
        <v>89</v>
      </c>
      <c r="D51" s="231"/>
      <c r="E51" s="283"/>
      <c r="F51" s="213"/>
      <c r="G51" s="284">
        <f>G50+G49</f>
        <v>5354531.6085903952</v>
      </c>
      <c r="H51" s="280">
        <f t="shared" si="4"/>
        <v>3.9182557725898572</v>
      </c>
      <c r="I51" s="259">
        <v>100175504.82850124</v>
      </c>
      <c r="M51" s="263"/>
      <c r="N51" s="260"/>
      <c r="O51" s="270"/>
      <c r="P51" s="260"/>
      <c r="Q51" s="260"/>
      <c r="R51" s="260"/>
      <c r="S51" s="260"/>
      <c r="T51" s="260"/>
      <c r="U51" s="260"/>
    </row>
    <row r="52" spans="1:24" ht="15.75" x14ac:dyDescent="0.25">
      <c r="B52" s="213"/>
      <c r="C52" s="264" t="s">
        <v>90</v>
      </c>
      <c r="D52" s="231"/>
      <c r="E52" s="213"/>
      <c r="F52" s="213"/>
      <c r="G52" s="282">
        <f>G51*0.18</f>
        <v>963815.68954627111</v>
      </c>
      <c r="H52" s="280">
        <f t="shared" si="4"/>
        <v>0.70528603906617426</v>
      </c>
      <c r="I52" s="259">
        <v>18031590.869130224</v>
      </c>
      <c r="M52" s="263"/>
      <c r="N52" s="260"/>
      <c r="O52" s="270"/>
      <c r="P52" s="260"/>
      <c r="Q52" s="260"/>
      <c r="R52" s="260"/>
      <c r="S52" s="260"/>
      <c r="T52" s="260"/>
      <c r="U52" s="260"/>
    </row>
    <row r="53" spans="1:24" ht="15.75" x14ac:dyDescent="0.25">
      <c r="B53" s="213"/>
      <c r="C53" s="271" t="s">
        <v>91</v>
      </c>
      <c r="D53" s="231"/>
      <c r="E53" s="213"/>
      <c r="F53" s="213"/>
      <c r="G53" s="282">
        <f>G52+G51</f>
        <v>6318347.2981366664</v>
      </c>
      <c r="H53" s="280">
        <f t="shared" si="4"/>
        <v>4.6235418116560316</v>
      </c>
      <c r="I53" s="259">
        <v>118207095.69763146</v>
      </c>
      <c r="L53" s="257"/>
      <c r="M53" s="263"/>
      <c r="N53" s="260"/>
      <c r="O53" s="285"/>
      <c r="P53" s="260"/>
      <c r="Q53" s="260"/>
      <c r="R53" s="260"/>
      <c r="S53" s="260"/>
      <c r="T53" s="260"/>
      <c r="U53" s="260"/>
      <c r="V53" s="225"/>
      <c r="W53" s="225"/>
      <c r="X53" s="225"/>
    </row>
    <row r="54" spans="1:24" x14ac:dyDescent="0.25">
      <c r="F54" s="286"/>
      <c r="G54" s="286"/>
      <c r="I54" s="259"/>
      <c r="L54" s="257"/>
      <c r="M54" s="263"/>
      <c r="N54" s="260"/>
      <c r="O54" s="270"/>
      <c r="P54" s="260"/>
      <c r="Q54" s="260"/>
      <c r="R54" s="260"/>
      <c r="S54" s="260"/>
      <c r="T54" s="260"/>
      <c r="U54" s="260"/>
      <c r="V54" s="287"/>
      <c r="W54" s="225"/>
      <c r="X54" s="225"/>
    </row>
    <row r="55" spans="1:24" ht="15.75" customHeight="1" x14ac:dyDescent="0.25">
      <c r="L55" s="257"/>
      <c r="M55" s="263"/>
      <c r="N55" s="260"/>
      <c r="O55" s="270"/>
      <c r="P55" s="260"/>
      <c r="Q55" s="260"/>
      <c r="R55" s="260"/>
      <c r="S55" s="260"/>
      <c r="T55" s="260"/>
      <c r="U55" s="260"/>
      <c r="V55" s="287"/>
      <c r="W55" s="225"/>
      <c r="X55" s="225"/>
    </row>
    <row r="56" spans="1:24" x14ac:dyDescent="0.25">
      <c r="C56" s="288"/>
      <c r="G56" s="249"/>
      <c r="L56" s="257"/>
      <c r="M56" s="263"/>
      <c r="N56" s="260"/>
      <c r="O56" s="270"/>
      <c r="P56" s="260"/>
      <c r="Q56" s="260"/>
      <c r="R56" s="260"/>
      <c r="S56" s="260"/>
      <c r="T56" s="260"/>
      <c r="U56" s="260"/>
      <c r="V56" s="287"/>
      <c r="W56" s="225"/>
      <c r="X56" s="225"/>
    </row>
    <row r="57" spans="1:24" hidden="1" x14ac:dyDescent="0.25">
      <c r="C57" s="209" t="s">
        <v>92</v>
      </c>
      <c r="L57" s="257"/>
      <c r="M57" s="257"/>
      <c r="N57" s="257"/>
      <c r="S57" s="260"/>
      <c r="T57" s="260"/>
      <c r="U57" s="225"/>
      <c r="V57" s="287"/>
      <c r="W57" s="225"/>
      <c r="X57" s="225"/>
    </row>
    <row r="58" spans="1:24" hidden="1" x14ac:dyDescent="0.25">
      <c r="C58" s="230" t="s">
        <v>210</v>
      </c>
      <c r="D58" s="289" t="s">
        <v>93</v>
      </c>
      <c r="E58" s="230">
        <f>ROUNDUP((E23)/32,0)</f>
        <v>1</v>
      </c>
      <c r="L58" s="257"/>
      <c r="M58" s="257"/>
      <c r="N58" s="257"/>
      <c r="O58" s="290"/>
      <c r="S58" s="260"/>
      <c r="T58" s="260"/>
      <c r="U58" s="225"/>
      <c r="V58" s="291"/>
      <c r="W58" s="225"/>
      <c r="X58" s="225"/>
    </row>
    <row r="59" spans="1:24" hidden="1" x14ac:dyDescent="0.25">
      <c r="C59" s="230" t="s">
        <v>94</v>
      </c>
      <c r="D59" s="289"/>
      <c r="E59" s="230">
        <f>E58</f>
        <v>1</v>
      </c>
      <c r="L59" s="257"/>
      <c r="M59" s="257"/>
      <c r="N59" s="257"/>
      <c r="S59" s="260"/>
      <c r="T59" s="260"/>
      <c r="U59" s="225"/>
      <c r="V59" s="287"/>
      <c r="W59" s="225"/>
      <c r="X59" s="225"/>
    </row>
    <row r="60" spans="1:24" hidden="1" x14ac:dyDescent="0.25">
      <c r="S60" s="260"/>
      <c r="T60" s="260"/>
      <c r="U60" s="225"/>
      <c r="V60" s="287"/>
      <c r="W60" s="225"/>
      <c r="X60" s="225"/>
    </row>
    <row r="61" spans="1:24" s="211" customFormat="1" hidden="1" x14ac:dyDescent="0.25">
      <c r="A61" s="209"/>
      <c r="B61" s="209"/>
      <c r="C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12"/>
      <c r="P61" s="209"/>
      <c r="Q61" s="209"/>
      <c r="R61" s="209"/>
      <c r="S61" s="260"/>
      <c r="T61" s="260"/>
      <c r="U61" s="225"/>
      <c r="V61" s="291"/>
      <c r="W61" s="225"/>
      <c r="X61" s="225"/>
    </row>
    <row r="62" spans="1:24" hidden="1" x14ac:dyDescent="0.25">
      <c r="C62" s="292" t="s">
        <v>211</v>
      </c>
      <c r="D62" s="293"/>
      <c r="E62" s="294"/>
      <c r="S62" s="260"/>
      <c r="T62" s="260"/>
      <c r="U62" s="225"/>
      <c r="V62" s="287"/>
      <c r="W62" s="225"/>
      <c r="X62" s="225"/>
    </row>
    <row r="63" spans="1:24" hidden="1" x14ac:dyDescent="0.25">
      <c r="C63" s="295" t="s">
        <v>92</v>
      </c>
      <c r="E63" s="296"/>
      <c r="S63" s="260"/>
      <c r="T63" s="260"/>
    </row>
    <row r="64" spans="1:24" hidden="1" x14ac:dyDescent="0.25">
      <c r="C64" s="297" t="s">
        <v>212</v>
      </c>
      <c r="D64" s="289" t="s">
        <v>93</v>
      </c>
      <c r="E64" s="298">
        <f>ROUNDUP((E23)/32,0)</f>
        <v>1</v>
      </c>
      <c r="J64" s="259"/>
      <c r="S64" s="260"/>
      <c r="T64" s="260"/>
    </row>
    <row r="65" spans="3:22" hidden="1" x14ac:dyDescent="0.25">
      <c r="C65" s="299" t="s">
        <v>213</v>
      </c>
      <c r="D65" s="300" t="s">
        <v>93</v>
      </c>
      <c r="E65" s="301">
        <f>E64</f>
        <v>1</v>
      </c>
      <c r="L65" s="211"/>
      <c r="M65" s="211"/>
      <c r="N65" s="211"/>
      <c r="O65" s="227"/>
      <c r="P65" s="211"/>
      <c r="Q65" s="211"/>
      <c r="R65" s="211"/>
      <c r="S65" s="260"/>
      <c r="T65" s="260"/>
      <c r="U65" s="211"/>
      <c r="V65" s="211"/>
    </row>
    <row r="66" spans="3:22" hidden="1" x14ac:dyDescent="0.25">
      <c r="C66" s="302"/>
      <c r="E66" s="296"/>
      <c r="P66" s="303"/>
      <c r="S66" s="260"/>
      <c r="T66" s="260"/>
    </row>
    <row r="67" spans="3:22" hidden="1" x14ac:dyDescent="0.25">
      <c r="C67" s="295" t="s">
        <v>95</v>
      </c>
      <c r="E67" s="296"/>
      <c r="P67" s="303"/>
      <c r="S67" s="260"/>
      <c r="T67" s="260"/>
    </row>
    <row r="68" spans="3:22" hidden="1" x14ac:dyDescent="0.25">
      <c r="C68" s="304" t="s">
        <v>214</v>
      </c>
      <c r="D68" s="289" t="s">
        <v>93</v>
      </c>
      <c r="E68" s="298">
        <f>ROUNDUP(E21/27/16,0)</f>
        <v>1</v>
      </c>
      <c r="P68" s="303"/>
      <c r="S68" s="260"/>
      <c r="T68" s="260"/>
    </row>
    <row r="69" spans="3:22" hidden="1" x14ac:dyDescent="0.25">
      <c r="C69" s="305" t="s">
        <v>215</v>
      </c>
      <c r="D69" s="289" t="s">
        <v>93</v>
      </c>
      <c r="E69" s="298">
        <f>ROUNDUP(D2/1000*3,0)</f>
        <v>1</v>
      </c>
      <c r="S69" s="260"/>
      <c r="T69" s="260"/>
    </row>
    <row r="70" spans="3:22" ht="32.25" hidden="1" customHeight="1" x14ac:dyDescent="0.25">
      <c r="C70" s="304" t="s">
        <v>216</v>
      </c>
      <c r="D70" s="513" t="s">
        <v>93</v>
      </c>
      <c r="E70" s="515" t="e">
        <f>IF(E77&gt;1,0,1)</f>
        <v>#REF!</v>
      </c>
      <c r="O70" s="306"/>
      <c r="P70" s="307"/>
      <c r="S70" s="260"/>
      <c r="T70" s="260"/>
    </row>
    <row r="71" spans="3:22" ht="32.25" hidden="1" customHeight="1" x14ac:dyDescent="0.25">
      <c r="C71" s="304" t="s">
        <v>100</v>
      </c>
      <c r="D71" s="514"/>
      <c r="E71" s="516"/>
      <c r="O71" s="306"/>
      <c r="P71" s="307"/>
      <c r="S71" s="260"/>
      <c r="T71" s="260"/>
    </row>
    <row r="72" spans="3:22" hidden="1" x14ac:dyDescent="0.25">
      <c r="C72" s="304" t="s">
        <v>217</v>
      </c>
      <c r="D72" s="514"/>
      <c r="E72" s="516"/>
      <c r="O72" s="306"/>
      <c r="P72" s="307"/>
      <c r="S72" s="260"/>
      <c r="T72" s="260"/>
    </row>
    <row r="73" spans="3:22" ht="35.25" hidden="1" customHeight="1" x14ac:dyDescent="0.25">
      <c r="C73" s="304" t="s">
        <v>218</v>
      </c>
      <c r="D73" s="514"/>
      <c r="E73" s="516"/>
      <c r="O73" s="306"/>
      <c r="P73" s="307"/>
      <c r="S73" s="260"/>
      <c r="T73" s="260"/>
    </row>
    <row r="74" spans="3:22" ht="18" hidden="1" customHeight="1" x14ac:dyDescent="0.25">
      <c r="C74" s="304" t="s">
        <v>219</v>
      </c>
      <c r="D74" s="514"/>
      <c r="E74" s="516"/>
      <c r="O74" s="306"/>
      <c r="P74" s="307"/>
      <c r="S74" s="260"/>
      <c r="T74" s="260"/>
    </row>
    <row r="75" spans="3:22" ht="15.75" hidden="1" customHeight="1" x14ac:dyDescent="0.25">
      <c r="C75" s="305" t="s">
        <v>220</v>
      </c>
      <c r="D75" s="308" t="s">
        <v>93</v>
      </c>
      <c r="E75" s="309">
        <v>0</v>
      </c>
      <c r="O75" s="306"/>
      <c r="P75" s="310"/>
      <c r="S75" s="260"/>
      <c r="T75" s="260"/>
    </row>
    <row r="76" spans="3:22" hidden="1" x14ac:dyDescent="0.25">
      <c r="C76" s="305" t="s">
        <v>221</v>
      </c>
      <c r="D76" s="513" t="s">
        <v>93</v>
      </c>
      <c r="E76" s="311">
        <f>E34</f>
        <v>1</v>
      </c>
      <c r="S76" s="260"/>
      <c r="T76" s="260"/>
    </row>
    <row r="77" spans="3:22" hidden="1" x14ac:dyDescent="0.25">
      <c r="C77" s="297" t="s">
        <v>212</v>
      </c>
      <c r="D77" s="517"/>
      <c r="E77" s="312" t="e">
        <f>#REF!</f>
        <v>#REF!</v>
      </c>
      <c r="S77" s="260"/>
      <c r="T77" s="260"/>
    </row>
    <row r="78" spans="3:22" hidden="1" x14ac:dyDescent="0.25">
      <c r="C78" s="313" t="s">
        <v>222</v>
      </c>
      <c r="D78" s="308" t="s">
        <v>93</v>
      </c>
      <c r="E78" s="314">
        <v>1</v>
      </c>
      <c r="S78" s="260"/>
      <c r="T78" s="260"/>
    </row>
    <row r="79" spans="3:22" ht="15.75" hidden="1" thickBot="1" x14ac:dyDescent="0.3">
      <c r="C79" s="315" t="s">
        <v>223</v>
      </c>
      <c r="D79" s="316" t="s">
        <v>93</v>
      </c>
      <c r="E79" s="317" t="e">
        <f>SUM(E68:E78)</f>
        <v>#REF!</v>
      </c>
      <c r="S79" s="260"/>
      <c r="T79" s="260"/>
    </row>
    <row r="80" spans="3:22" ht="12.75" hidden="1" customHeight="1" x14ac:dyDescent="0.25">
      <c r="S80" s="260"/>
      <c r="T80" s="260"/>
    </row>
    <row r="81" spans="3:20" hidden="1" x14ac:dyDescent="0.25">
      <c r="S81" s="260"/>
      <c r="T81" s="260"/>
    </row>
    <row r="82" spans="3:20" hidden="1" x14ac:dyDescent="0.25">
      <c r="S82" s="260"/>
      <c r="T82" s="260"/>
    </row>
    <row r="83" spans="3:20" hidden="1" x14ac:dyDescent="0.25">
      <c r="C83" s="209" t="s">
        <v>224</v>
      </c>
      <c r="S83" s="260"/>
      <c r="T83" s="260"/>
    </row>
    <row r="84" spans="3:20" hidden="1" x14ac:dyDescent="0.25">
      <c r="C84" s="209" t="s">
        <v>97</v>
      </c>
      <c r="S84" s="260"/>
      <c r="T84" s="260"/>
    </row>
    <row r="85" spans="3:20" hidden="1" x14ac:dyDescent="0.25">
      <c r="C85" s="209" t="s">
        <v>98</v>
      </c>
      <c r="S85" s="260"/>
      <c r="T85" s="260"/>
    </row>
    <row r="86" spans="3:20" hidden="1" x14ac:dyDescent="0.25">
      <c r="C86" s="209" t="s">
        <v>99</v>
      </c>
      <c r="S86" s="260"/>
      <c r="T86" s="260"/>
    </row>
    <row r="87" spans="3:20" x14ac:dyDescent="0.25">
      <c r="C87" s="318" t="s">
        <v>225</v>
      </c>
      <c r="S87" s="260"/>
      <c r="T87" s="260"/>
    </row>
    <row r="88" spans="3:20" x14ac:dyDescent="0.25">
      <c r="C88" s="318" t="s">
        <v>226</v>
      </c>
      <c r="S88" s="260"/>
      <c r="T88" s="260"/>
    </row>
    <row r="89" spans="3:20" x14ac:dyDescent="0.25">
      <c r="C89" s="318" t="s">
        <v>227</v>
      </c>
      <c r="F89" s="211"/>
      <c r="G89" s="211"/>
      <c r="S89" s="260"/>
      <c r="T89" s="260"/>
    </row>
    <row r="90" spans="3:20" ht="15.75" x14ac:dyDescent="0.25">
      <c r="C90" s="209" t="s">
        <v>228</v>
      </c>
      <c r="D90" s="282">
        <f>G51</f>
        <v>5354531.6085903952</v>
      </c>
      <c r="F90" s="211"/>
      <c r="G90" s="211"/>
      <c r="S90" s="260"/>
      <c r="T90" s="260"/>
    </row>
    <row r="91" spans="3:20" x14ac:dyDescent="0.25">
      <c r="S91" s="260"/>
      <c r="T91" s="260"/>
    </row>
    <row r="92" spans="3:20" x14ac:dyDescent="0.25">
      <c r="C92" s="209" t="s">
        <v>229</v>
      </c>
      <c r="S92" s="260"/>
      <c r="T92" s="260"/>
    </row>
    <row r="93" spans="3:20" x14ac:dyDescent="0.25">
      <c r="C93" s="209" t="s">
        <v>230</v>
      </c>
      <c r="D93" s="319">
        <v>35300</v>
      </c>
      <c r="S93" s="260"/>
      <c r="T93" s="260"/>
    </row>
    <row r="94" spans="3:20" x14ac:dyDescent="0.25">
      <c r="C94" s="209" t="s">
        <v>231</v>
      </c>
      <c r="D94" s="320">
        <f>D93*0.33*49.378</f>
        <v>575204.32200000004</v>
      </c>
      <c r="S94" s="260"/>
      <c r="T94" s="260"/>
    </row>
    <row r="95" spans="3:20" x14ac:dyDescent="0.25">
      <c r="S95" s="260"/>
      <c r="T95" s="260"/>
    </row>
    <row r="96" spans="3:20" x14ac:dyDescent="0.25">
      <c r="C96" s="209" t="s">
        <v>232</v>
      </c>
    </row>
    <row r="97" spans="3:4" ht="12.75" customHeight="1" x14ac:dyDescent="0.25">
      <c r="C97" s="209" t="s">
        <v>233</v>
      </c>
      <c r="D97" s="319">
        <v>12000</v>
      </c>
    </row>
    <row r="98" spans="3:4" ht="13.5" customHeight="1" x14ac:dyDescent="0.25">
      <c r="C98" s="209" t="s">
        <v>234</v>
      </c>
      <c r="D98" s="320">
        <f>(D93-D97)/1</f>
        <v>23300</v>
      </c>
    </row>
    <row r="99" spans="3:4" x14ac:dyDescent="0.25">
      <c r="C99" s="209" t="s">
        <v>231</v>
      </c>
      <c r="D99" s="320">
        <f>D98*0.27*49.378</f>
        <v>310636.99800000002</v>
      </c>
    </row>
    <row r="100" spans="3:4" x14ac:dyDescent="0.25">
      <c r="C100" s="209" t="s">
        <v>235</v>
      </c>
      <c r="D100" s="320">
        <f>D94-D99</f>
        <v>264567.32400000002</v>
      </c>
    </row>
    <row r="102" spans="3:4" x14ac:dyDescent="0.25">
      <c r="C102" s="209" t="s">
        <v>236</v>
      </c>
      <c r="D102" s="211">
        <f>G51/D100</f>
        <v>20.23882438554806</v>
      </c>
    </row>
  </sheetData>
  <mergeCells count="4">
    <mergeCell ref="O18:O19"/>
    <mergeCell ref="D70:D74"/>
    <mergeCell ref="E70:E74"/>
    <mergeCell ref="D76:D77"/>
  </mergeCell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P108"/>
  <sheetViews>
    <sheetView topLeftCell="B1" zoomScale="85" zoomScaleNormal="85" workbookViewId="0">
      <pane xSplit="3" ySplit="4" topLeftCell="E80" activePane="bottomRight" state="frozen"/>
      <selection activeCell="B1" sqref="B1"/>
      <selection pane="topRight" activeCell="E1" sqref="E1"/>
      <selection pane="bottomLeft" activeCell="B5" sqref="B5"/>
      <selection pane="bottomRight" activeCell="J107" sqref="J107"/>
    </sheetView>
  </sheetViews>
  <sheetFormatPr defaultRowHeight="15" x14ac:dyDescent="0.25"/>
  <cols>
    <col min="1" max="1" width="3.42578125" customWidth="1"/>
    <col min="3" max="3" width="19.85546875" customWidth="1"/>
    <col min="4" max="4" width="89.85546875" customWidth="1"/>
    <col min="5" max="5" width="12" bestFit="1" customWidth="1"/>
    <col min="6" max="6" width="14.5703125" customWidth="1"/>
    <col min="7" max="7" width="20.85546875" customWidth="1"/>
    <col min="8" max="10" width="16" customWidth="1"/>
    <col min="11" max="11" width="17" customWidth="1"/>
    <col min="12" max="12" width="20.42578125" customWidth="1"/>
    <col min="13" max="16" width="15" customWidth="1"/>
  </cols>
  <sheetData>
    <row r="1" spans="2:16" x14ac:dyDescent="0.25">
      <c r="M1" t="s">
        <v>462</v>
      </c>
      <c r="N1" t="s">
        <v>463</v>
      </c>
      <c r="O1" t="s">
        <v>464</v>
      </c>
    </row>
    <row r="2" spans="2:16" x14ac:dyDescent="0.25">
      <c r="K2" s="518" t="s">
        <v>479</v>
      </c>
      <c r="L2" s="518"/>
      <c r="M2" s="414"/>
      <c r="N2" s="406"/>
      <c r="O2" s="406"/>
    </row>
    <row r="3" spans="2:16" x14ac:dyDescent="0.25">
      <c r="K3" s="518" t="s">
        <v>465</v>
      </c>
      <c r="L3" s="518"/>
      <c r="M3" s="414"/>
      <c r="N3" s="406"/>
      <c r="O3" s="406"/>
    </row>
    <row r="4" spans="2:16" x14ac:dyDescent="0.25">
      <c r="K4" s="518" t="s">
        <v>466</v>
      </c>
      <c r="L4" s="518"/>
      <c r="M4" s="406"/>
      <c r="N4" s="406"/>
      <c r="O4" s="406"/>
    </row>
    <row r="5" spans="2:16" x14ac:dyDescent="0.25">
      <c r="B5" s="24"/>
      <c r="C5" s="24"/>
      <c r="D5" s="24"/>
      <c r="E5" s="24"/>
      <c r="F5" s="24"/>
      <c r="G5" s="30"/>
      <c r="H5" s="24"/>
      <c r="I5" s="24"/>
      <c r="J5" s="24"/>
      <c r="K5" s="518" t="s">
        <v>477</v>
      </c>
      <c r="L5" s="518"/>
      <c r="M5" s="406"/>
      <c r="N5" s="406"/>
      <c r="O5" s="406"/>
      <c r="P5" s="24"/>
    </row>
    <row r="6" spans="2:16" ht="15.75" thickBot="1" x14ac:dyDescent="0.3">
      <c r="B6" s="24"/>
      <c r="C6" s="24"/>
      <c r="D6" s="31" t="s">
        <v>244</v>
      </c>
      <c r="E6" s="31">
        <f>F8*0.28</f>
        <v>3.3600000000000003</v>
      </c>
      <c r="F6" s="31" t="s">
        <v>64</v>
      </c>
      <c r="G6" s="25"/>
      <c r="H6" s="32"/>
      <c r="I6" s="32"/>
      <c r="J6" s="32"/>
      <c r="K6" s="25"/>
      <c r="L6" s="25"/>
      <c r="M6" s="399"/>
      <c r="N6" s="399"/>
      <c r="O6" s="399"/>
      <c r="P6" s="25"/>
    </row>
    <row r="7" spans="2:16" ht="57.75" customHeight="1" thickBot="1" x14ac:dyDescent="0.3">
      <c r="B7" s="417" t="s">
        <v>33</v>
      </c>
      <c r="C7" s="418"/>
      <c r="D7" s="35" t="s">
        <v>0</v>
      </c>
      <c r="E7" s="36" t="s">
        <v>68</v>
      </c>
      <c r="F7" s="37" t="s">
        <v>69</v>
      </c>
      <c r="G7" s="38" t="s">
        <v>70</v>
      </c>
      <c r="H7" s="38" t="s">
        <v>467</v>
      </c>
      <c r="I7" s="38" t="s">
        <v>468</v>
      </c>
      <c r="J7" s="38" t="s">
        <v>469</v>
      </c>
      <c r="K7" s="38" t="s">
        <v>459</v>
      </c>
      <c r="L7" s="38" t="s">
        <v>470</v>
      </c>
      <c r="M7" s="38" t="s">
        <v>471</v>
      </c>
      <c r="N7" s="38" t="s">
        <v>472</v>
      </c>
      <c r="O7" s="40" t="s">
        <v>473</v>
      </c>
      <c r="P7" s="395"/>
    </row>
    <row r="8" spans="2:16" x14ac:dyDescent="0.25">
      <c r="B8" s="45">
        <v>1</v>
      </c>
      <c r="C8" s="411" t="e">
        <f>VLOOKUP(D8,'ПРАЙС ЮСТ'!B:C,15,0)</f>
        <v>#N/A</v>
      </c>
      <c r="D8" s="44" t="s">
        <v>498</v>
      </c>
      <c r="E8" s="45" t="s">
        <v>75</v>
      </c>
      <c r="F8" s="46">
        <v>12</v>
      </c>
      <c r="G8" s="407" t="e">
        <f>(K8*(1-N2))*0.87</f>
        <v>#N/A</v>
      </c>
      <c r="H8" s="407" t="e">
        <f>G8*F8</f>
        <v>#N/A</v>
      </c>
      <c r="I8" s="407" t="e">
        <f>F8*G8</f>
        <v>#N/A</v>
      </c>
      <c r="J8" s="407" t="e">
        <f>F8*G8</f>
        <v>#N/A</v>
      </c>
      <c r="K8" s="407" t="e">
        <f>VLOOKUP(C8,'ПРАЙС ЮСТ'!B:C,14,0)</f>
        <v>#N/A</v>
      </c>
      <c r="L8" s="407" t="e">
        <f>K8*F8</f>
        <v>#N/A</v>
      </c>
      <c r="M8" s="407" t="e">
        <f>L8*(1-$M$2)</f>
        <v>#N/A</v>
      </c>
      <c r="N8" s="407" t="e">
        <f>L8*(1-$N$2)</f>
        <v>#N/A</v>
      </c>
      <c r="O8" s="407" t="e">
        <f>L8*(1-$O$2)</f>
        <v>#N/A</v>
      </c>
      <c r="P8" s="397"/>
    </row>
    <row r="9" spans="2:16" x14ac:dyDescent="0.25">
      <c r="B9" s="43">
        <v>2</v>
      </c>
      <c r="C9" s="411" t="e">
        <f>VLOOKUP(D9,'ПРАЙС ЮСТ'!B:C,15,0)</f>
        <v>#N/A</v>
      </c>
      <c r="D9" s="44" t="s">
        <v>364</v>
      </c>
      <c r="E9" s="45" t="s">
        <v>75</v>
      </c>
      <c r="F9" s="46">
        <v>1</v>
      </c>
      <c r="G9" s="407" t="e">
        <f>VLOOKUP(C9,'ПРАЙС ЮСТ'!B:B,4,0)</f>
        <v>#N/A</v>
      </c>
      <c r="H9" s="407" t="e">
        <f>G9*F9</f>
        <v>#N/A</v>
      </c>
      <c r="I9" s="407" t="e">
        <f t="shared" ref="I9:I17" si="0">F9*G9</f>
        <v>#N/A</v>
      </c>
      <c r="J9" s="407" t="e">
        <f t="shared" ref="J9:J18" si="1">F9*G9</f>
        <v>#N/A</v>
      </c>
      <c r="K9" s="407" t="e">
        <f>VLOOKUP(C9,'ПРАЙС ЮСТ'!B:C,14,0)</f>
        <v>#N/A</v>
      </c>
      <c r="L9" s="407" t="e">
        <f t="shared" ref="L9:L18" si="2">K9*F9</f>
        <v>#N/A</v>
      </c>
      <c r="M9" s="407" t="e">
        <f>L9*(1-$M$3)</f>
        <v>#N/A</v>
      </c>
      <c r="N9" s="407" t="e">
        <f>L9*(1-$N$3)</f>
        <v>#N/A</v>
      </c>
      <c r="O9" s="407" t="e">
        <f>L9*(1-$O$3)</f>
        <v>#N/A</v>
      </c>
      <c r="P9" s="397"/>
    </row>
    <row r="10" spans="2:16" x14ac:dyDescent="0.25">
      <c r="B10" s="43">
        <v>3</v>
      </c>
      <c r="C10" s="411" t="e">
        <f>VLOOKUP(D10,'ПРАЙС ЮСТ'!B:C,15,0)</f>
        <v>#N/A</v>
      </c>
      <c r="D10" s="44" t="s">
        <v>331</v>
      </c>
      <c r="E10" s="45" t="s">
        <v>75</v>
      </c>
      <c r="F10" s="46">
        <v>1</v>
      </c>
      <c r="G10" s="407" t="e">
        <f>VLOOKUP(C10,'ПРАЙС ЮСТ'!B:B,4,0)</f>
        <v>#N/A</v>
      </c>
      <c r="H10" s="407"/>
      <c r="I10" s="407" t="e">
        <f t="shared" si="0"/>
        <v>#N/A</v>
      </c>
      <c r="J10" s="407" t="e">
        <f t="shared" si="1"/>
        <v>#N/A</v>
      </c>
      <c r="K10" s="407" t="e">
        <f>VLOOKUP(C10,'ПРАЙС ЮСТ'!B:C,14,0)</f>
        <v>#N/A</v>
      </c>
      <c r="L10" s="407" t="e">
        <f t="shared" si="2"/>
        <v>#N/A</v>
      </c>
      <c r="M10" s="407"/>
      <c r="N10" s="407" t="e">
        <f t="shared" ref="N10:N17" si="3">L10*(1-$N$3)</f>
        <v>#N/A</v>
      </c>
      <c r="O10" s="407" t="e">
        <f t="shared" ref="O10:O17" si="4">L10*(1-$O$3)</f>
        <v>#N/A</v>
      </c>
      <c r="P10" s="397"/>
    </row>
    <row r="11" spans="2:16" x14ac:dyDescent="0.25">
      <c r="B11" s="45">
        <v>4</v>
      </c>
      <c r="C11" s="411" t="e">
        <f>VLOOKUP(D11,'ПРАЙС ЮСТ'!B:C,15,0)</f>
        <v>#N/A</v>
      </c>
      <c r="D11" s="44" t="s">
        <v>335</v>
      </c>
      <c r="E11" s="45" t="s">
        <v>78</v>
      </c>
      <c r="F11" s="46">
        <v>25</v>
      </c>
      <c r="G11" s="407" t="e">
        <f>VLOOKUP(C11,'ПРАЙС ЮСТ'!B:B,4,0)</f>
        <v>#N/A</v>
      </c>
      <c r="H11" s="407"/>
      <c r="I11" s="407" t="e">
        <f t="shared" si="0"/>
        <v>#N/A</v>
      </c>
      <c r="J11" s="407" t="e">
        <f t="shared" si="1"/>
        <v>#N/A</v>
      </c>
      <c r="K11" s="407" t="e">
        <f>VLOOKUP(C11,'ПРАЙС ЮСТ'!B:C,14,0)</f>
        <v>#N/A</v>
      </c>
      <c r="L11" s="407" t="e">
        <f t="shared" si="2"/>
        <v>#N/A</v>
      </c>
      <c r="M11" s="407"/>
      <c r="N11" s="407" t="e">
        <f t="shared" si="3"/>
        <v>#N/A</v>
      </c>
      <c r="O11" s="407" t="e">
        <f t="shared" si="4"/>
        <v>#N/A</v>
      </c>
      <c r="P11" s="397"/>
    </row>
    <row r="12" spans="2:16" x14ac:dyDescent="0.25">
      <c r="B12" s="43">
        <v>5</v>
      </c>
      <c r="C12" s="411" t="e">
        <f>VLOOKUP(D12,'ПРАЙС ЮСТ'!B:C,15,0)</f>
        <v>#N/A</v>
      </c>
      <c r="D12" s="44" t="s">
        <v>336</v>
      </c>
      <c r="E12" s="45" t="s">
        <v>78</v>
      </c>
      <c r="F12" s="46">
        <v>25</v>
      </c>
      <c r="G12" s="407" t="e">
        <f>VLOOKUP(C12,'ПРАЙС ЮСТ'!B:B,4,0)</f>
        <v>#N/A</v>
      </c>
      <c r="H12" s="407"/>
      <c r="I12" s="407" t="e">
        <f t="shared" si="0"/>
        <v>#N/A</v>
      </c>
      <c r="J12" s="407" t="e">
        <f t="shared" si="1"/>
        <v>#N/A</v>
      </c>
      <c r="K12" s="407" t="e">
        <f>VLOOKUP(C12,'ПРАЙС ЮСТ'!B:C,14,0)</f>
        <v>#N/A</v>
      </c>
      <c r="L12" s="407" t="e">
        <f t="shared" si="2"/>
        <v>#N/A</v>
      </c>
      <c r="M12" s="407"/>
      <c r="N12" s="407" t="e">
        <f t="shared" si="3"/>
        <v>#N/A</v>
      </c>
      <c r="O12" s="407" t="e">
        <f t="shared" si="4"/>
        <v>#N/A</v>
      </c>
      <c r="P12" s="397"/>
    </row>
    <row r="13" spans="2:16" x14ac:dyDescent="0.25">
      <c r="B13" s="43">
        <v>6</v>
      </c>
      <c r="C13" s="411" t="e">
        <f>VLOOKUP(D13,'ПРАЙС ЮСТ'!B:C,15,0)</f>
        <v>#N/A</v>
      </c>
      <c r="D13" s="44" t="s">
        <v>443</v>
      </c>
      <c r="E13" s="45" t="s">
        <v>75</v>
      </c>
      <c r="F13" s="46">
        <v>3</v>
      </c>
      <c r="G13" s="407" t="e">
        <f>VLOOKUP(C13,'ПРАЙС ЮСТ'!B:B,4,0)</f>
        <v>#N/A</v>
      </c>
      <c r="H13" s="407"/>
      <c r="I13" s="407" t="e">
        <f t="shared" si="0"/>
        <v>#N/A</v>
      </c>
      <c r="J13" s="407" t="e">
        <f t="shared" si="1"/>
        <v>#N/A</v>
      </c>
      <c r="K13" s="407" t="e">
        <f>VLOOKUP(C13,'ПРАЙС ЮСТ'!B:C,14,0)</f>
        <v>#N/A</v>
      </c>
      <c r="L13" s="407" t="e">
        <f t="shared" si="2"/>
        <v>#N/A</v>
      </c>
      <c r="M13" s="407"/>
      <c r="N13" s="407" t="e">
        <f t="shared" si="3"/>
        <v>#N/A</v>
      </c>
      <c r="O13" s="407" t="e">
        <f t="shared" si="4"/>
        <v>#N/A</v>
      </c>
      <c r="P13" s="398"/>
    </row>
    <row r="14" spans="2:16" x14ac:dyDescent="0.25">
      <c r="B14" s="45">
        <v>7</v>
      </c>
      <c r="C14" s="411" t="e">
        <f>VLOOKUP(D14,'ПРАЙС ЮСТ'!B:C,15,0)</f>
        <v>#N/A</v>
      </c>
      <c r="D14" s="44" t="s">
        <v>442</v>
      </c>
      <c r="E14" s="45" t="s">
        <v>75</v>
      </c>
      <c r="F14" s="46">
        <v>3</v>
      </c>
      <c r="G14" s="407" t="e">
        <f>VLOOKUP(C14,'ПРАЙС ЮСТ'!B:B,4,0)</f>
        <v>#N/A</v>
      </c>
      <c r="H14" s="407"/>
      <c r="I14" s="407" t="e">
        <f t="shared" si="0"/>
        <v>#N/A</v>
      </c>
      <c r="J14" s="407" t="e">
        <f t="shared" si="1"/>
        <v>#N/A</v>
      </c>
      <c r="K14" s="407" t="e">
        <f>VLOOKUP(C14,'ПРАЙС ЮСТ'!B:C,14,0)</f>
        <v>#N/A</v>
      </c>
      <c r="L14" s="407" t="e">
        <f t="shared" si="2"/>
        <v>#N/A</v>
      </c>
      <c r="M14" s="407"/>
      <c r="N14" s="407" t="e">
        <f t="shared" si="3"/>
        <v>#N/A</v>
      </c>
      <c r="O14" s="407" t="e">
        <f t="shared" si="4"/>
        <v>#N/A</v>
      </c>
      <c r="P14" s="398"/>
    </row>
    <row r="15" spans="2:16" x14ac:dyDescent="0.25">
      <c r="B15" s="43">
        <v>8</v>
      </c>
      <c r="C15" s="411" t="e">
        <f>VLOOKUP(D15,'ПРАЙС ЮСТ'!B:C,15,0)</f>
        <v>#N/A</v>
      </c>
      <c r="D15" s="44" t="s">
        <v>350</v>
      </c>
      <c r="E15" s="45" t="s">
        <v>78</v>
      </c>
      <c r="F15" s="46">
        <v>1</v>
      </c>
      <c r="G15" s="407" t="e">
        <f>VLOOKUP(C15,'ПРАЙС ЮСТ'!B:B,4,0)</f>
        <v>#N/A</v>
      </c>
      <c r="H15" s="407"/>
      <c r="I15" s="407" t="e">
        <f t="shared" si="0"/>
        <v>#N/A</v>
      </c>
      <c r="J15" s="407" t="e">
        <f t="shared" si="1"/>
        <v>#N/A</v>
      </c>
      <c r="K15" s="407" t="e">
        <f>VLOOKUP(C15,'ПРАЙС ЮСТ'!B:C,14,0)</f>
        <v>#N/A</v>
      </c>
      <c r="L15" s="407" t="e">
        <f t="shared" si="2"/>
        <v>#N/A</v>
      </c>
      <c r="M15" s="407"/>
      <c r="N15" s="407" t="e">
        <f t="shared" si="3"/>
        <v>#N/A</v>
      </c>
      <c r="O15" s="407" t="e">
        <f t="shared" si="4"/>
        <v>#N/A</v>
      </c>
      <c r="P15" s="397"/>
    </row>
    <row r="16" spans="2:16" x14ac:dyDescent="0.25">
      <c r="B16" s="43">
        <v>9</v>
      </c>
      <c r="C16" s="411" t="e">
        <f>VLOOKUP(D16,'ПРАЙС ЮСТ'!B:C,15,0)</f>
        <v>#N/A</v>
      </c>
      <c r="D16" s="44" t="s">
        <v>446</v>
      </c>
      <c r="E16" s="45" t="s">
        <v>75</v>
      </c>
      <c r="F16" s="46">
        <v>1</v>
      </c>
      <c r="G16" s="407" t="e">
        <f>VLOOKUP(C16,'ПРАЙС ЮСТ'!B:B,4,0)</f>
        <v>#N/A</v>
      </c>
      <c r="H16" s="407"/>
      <c r="I16" s="407" t="e">
        <f t="shared" si="0"/>
        <v>#N/A</v>
      </c>
      <c r="J16" s="407" t="e">
        <f t="shared" si="1"/>
        <v>#N/A</v>
      </c>
      <c r="K16" s="407" t="e">
        <f>VLOOKUP(C16,'ПРАЙС ЮСТ'!B:C,14,0)</f>
        <v>#N/A</v>
      </c>
      <c r="L16" s="407" t="e">
        <f t="shared" si="2"/>
        <v>#N/A</v>
      </c>
      <c r="M16" s="407"/>
      <c r="N16" s="407" t="e">
        <f t="shared" si="3"/>
        <v>#N/A</v>
      </c>
      <c r="O16" s="407" t="e">
        <f t="shared" si="4"/>
        <v>#N/A</v>
      </c>
      <c r="P16" s="397"/>
    </row>
    <row r="17" spans="1:16" x14ac:dyDescent="0.25">
      <c r="B17" s="45">
        <v>10</v>
      </c>
      <c r="C17" s="411" t="e">
        <f>VLOOKUP(D17,'ПРАЙС ЮСТ'!B:C,15,0)</f>
        <v>#N/A</v>
      </c>
      <c r="D17" s="44" t="s">
        <v>447</v>
      </c>
      <c r="E17" s="45" t="s">
        <v>75</v>
      </c>
      <c r="F17" s="46">
        <v>1</v>
      </c>
      <c r="G17" s="407" t="e">
        <f>VLOOKUP(C17,'ПРАЙС ЮСТ'!B:B,4,0)</f>
        <v>#N/A</v>
      </c>
      <c r="H17" s="407"/>
      <c r="I17" s="407" t="e">
        <f t="shared" si="0"/>
        <v>#N/A</v>
      </c>
      <c r="J17" s="407" t="e">
        <f t="shared" si="1"/>
        <v>#N/A</v>
      </c>
      <c r="K17" s="407" t="e">
        <f>VLOOKUP(C17,'ПРАЙС ЮСТ'!B:C,14,0)</f>
        <v>#N/A</v>
      </c>
      <c r="L17" s="407" t="e">
        <f t="shared" si="2"/>
        <v>#N/A</v>
      </c>
      <c r="M17" s="407"/>
      <c r="N17" s="407" t="e">
        <f t="shared" si="3"/>
        <v>#N/A</v>
      </c>
      <c r="O17" s="407" t="e">
        <f t="shared" si="4"/>
        <v>#N/A</v>
      </c>
      <c r="P17" s="397"/>
    </row>
    <row r="18" spans="1:16" x14ac:dyDescent="0.25">
      <c r="B18" s="43">
        <v>11</v>
      </c>
      <c r="C18" s="411" t="e">
        <f>VLOOKUP(D18,'ПРАЙС ЮСТ'!B:C,15,0)</f>
        <v>#N/A</v>
      </c>
      <c r="D18" s="44" t="s">
        <v>461</v>
      </c>
      <c r="E18" s="45" t="s">
        <v>75</v>
      </c>
      <c r="F18" s="46">
        <v>10</v>
      </c>
      <c r="G18" s="407" t="e">
        <f>VLOOKUP(C18,'ПРАЙС ЮСТ'!B:B,4,0)</f>
        <v>#N/A</v>
      </c>
      <c r="H18" s="407"/>
      <c r="I18" s="407"/>
      <c r="J18" s="407" t="e">
        <f t="shared" si="1"/>
        <v>#N/A</v>
      </c>
      <c r="K18" s="407" t="e">
        <f>VLOOKUP(C18,'ПРАЙС ЮСТ'!B:C,14,0)</f>
        <v>#N/A</v>
      </c>
      <c r="L18" s="407" t="e">
        <f t="shared" si="2"/>
        <v>#N/A</v>
      </c>
      <c r="M18" s="407"/>
      <c r="N18" s="407"/>
      <c r="O18" s="407" t="e">
        <f>L18*(1-$O$4)</f>
        <v>#N/A</v>
      </c>
      <c r="P18" s="397"/>
    </row>
    <row r="19" spans="1:16" x14ac:dyDescent="0.25">
      <c r="B19" s="43">
        <v>12</v>
      </c>
      <c r="C19" s="412"/>
      <c r="D19" s="44" t="s">
        <v>474</v>
      </c>
      <c r="E19" s="45" t="s">
        <v>75</v>
      </c>
      <c r="F19" s="51">
        <v>1</v>
      </c>
      <c r="G19" s="408">
        <f>1734/1.2</f>
        <v>1445</v>
      </c>
      <c r="H19" s="407">
        <f>$G19*F19</f>
        <v>1445</v>
      </c>
      <c r="I19" s="407">
        <f>G19*F19</f>
        <v>1445</v>
      </c>
      <c r="J19" s="407">
        <f>F19*G19</f>
        <v>1445</v>
      </c>
      <c r="K19" s="409"/>
      <c r="L19" s="407">
        <f>G19*F19</f>
        <v>1445</v>
      </c>
      <c r="M19" s="409"/>
      <c r="N19" s="409"/>
      <c r="O19" s="409">
        <f>L19</f>
        <v>1445</v>
      </c>
      <c r="P19" s="24"/>
    </row>
    <row r="20" spans="1:16" x14ac:dyDescent="0.25">
      <c r="A20" s="24"/>
      <c r="B20" s="24"/>
      <c r="C20" s="24"/>
      <c r="D20" s="340" t="s">
        <v>460</v>
      </c>
      <c r="E20" s="43"/>
      <c r="F20" s="27"/>
      <c r="G20" s="65"/>
      <c r="H20" s="396" t="e">
        <f>SUM(H8:H19)</f>
        <v>#N/A</v>
      </c>
      <c r="I20" s="396" t="e">
        <f>SUM(I8:I19)</f>
        <v>#N/A</v>
      </c>
      <c r="J20" s="396" t="e">
        <f>SUM(J8:J19)</f>
        <v>#N/A</v>
      </c>
      <c r="K20" s="396"/>
      <c r="L20" s="396"/>
      <c r="M20" s="396" t="e">
        <f>SUM(M8:M19)</f>
        <v>#N/A</v>
      </c>
      <c r="N20" s="396" t="e">
        <f>SUM(N8:N19)</f>
        <v>#N/A</v>
      </c>
      <c r="O20" s="396" t="e">
        <f>SUM(O8:O19)</f>
        <v>#N/A</v>
      </c>
      <c r="P20" s="382"/>
    </row>
    <row r="21" spans="1:16" x14ac:dyDescent="0.25">
      <c r="A21" s="24"/>
      <c r="B21" s="24"/>
      <c r="C21" s="24"/>
      <c r="D21" s="100"/>
      <c r="E21" s="24"/>
      <c r="F21" s="24"/>
      <c r="K21" s="24"/>
      <c r="L21" s="24"/>
      <c r="M21" s="24"/>
      <c r="N21" s="24"/>
      <c r="O21" s="24"/>
      <c r="P21" s="24"/>
    </row>
    <row r="22" spans="1:16" x14ac:dyDescent="0.25">
      <c r="A22" s="24"/>
      <c r="B22" s="24"/>
      <c r="C22" s="24"/>
      <c r="F22" s="24"/>
      <c r="K22" t="s">
        <v>478</v>
      </c>
      <c r="M22" s="415" t="e">
        <f>ROUND(M20*1.2,-2)-10</f>
        <v>#N/A</v>
      </c>
      <c r="N22" s="415" t="e">
        <f>ROUND(N20*1.2,-2)-10</f>
        <v>#N/A</v>
      </c>
      <c r="O22" s="415" t="e">
        <f>ROUND(O20*1.2,-2)-10</f>
        <v>#N/A</v>
      </c>
      <c r="P22" s="24"/>
    </row>
    <row r="23" spans="1:16" x14ac:dyDescent="0.25">
      <c r="A23" s="24"/>
      <c r="B23" s="24"/>
      <c r="C23" s="24"/>
      <c r="F23" s="24"/>
      <c r="K23" t="s">
        <v>499</v>
      </c>
      <c r="M23" s="416"/>
      <c r="N23" s="416">
        <v>215000</v>
      </c>
      <c r="O23" s="416"/>
      <c r="P23" s="24"/>
    </row>
    <row r="24" spans="1:16" x14ac:dyDescent="0.25">
      <c r="A24" s="24"/>
      <c r="B24" s="24"/>
      <c r="C24" s="24"/>
      <c r="F24" s="24"/>
      <c r="K24" s="24" t="s">
        <v>475</v>
      </c>
      <c r="M24" s="434" t="e">
        <f>(M20-H20)/M20</f>
        <v>#N/A</v>
      </c>
      <c r="N24" s="434" t="e">
        <f>(N20-I20)/N20</f>
        <v>#N/A</v>
      </c>
      <c r="O24" s="434" t="e">
        <f>(O20-J20)/O20</f>
        <v>#N/A</v>
      </c>
      <c r="P24" s="24"/>
    </row>
    <row r="25" spans="1:16" x14ac:dyDescent="0.25">
      <c r="A25" s="24"/>
      <c r="B25" s="24"/>
      <c r="C25" s="24"/>
      <c r="F25" s="24"/>
      <c r="K25" s="24"/>
      <c r="L25" s="24"/>
      <c r="M25" s="24"/>
      <c r="N25" s="24"/>
      <c r="O25" s="24"/>
      <c r="P25" s="24"/>
    </row>
    <row r="28" spans="1:16" ht="15.75" thickBot="1" x14ac:dyDescent="0.3">
      <c r="B28" s="24"/>
      <c r="C28" s="24"/>
      <c r="D28" s="31" t="s">
        <v>245</v>
      </c>
      <c r="E28" s="31">
        <f>F30*0.28</f>
        <v>5.0400000000000009</v>
      </c>
      <c r="F28" s="31" t="s">
        <v>64</v>
      </c>
      <c r="G28" s="25"/>
      <c r="H28" s="32"/>
      <c r="I28" s="32"/>
      <c r="J28" s="32"/>
      <c r="K28" s="25"/>
      <c r="L28" s="25"/>
      <c r="M28" s="399"/>
      <c r="N28" s="399"/>
      <c r="O28" s="399"/>
    </row>
    <row r="29" spans="1:16" ht="45.75" thickBot="1" x14ac:dyDescent="0.3">
      <c r="B29" s="417" t="s">
        <v>33</v>
      </c>
      <c r="C29" s="418"/>
      <c r="D29" s="35" t="s">
        <v>0</v>
      </c>
      <c r="E29" s="36" t="s">
        <v>68</v>
      </c>
      <c r="F29" s="37" t="s">
        <v>69</v>
      </c>
      <c r="G29" s="38" t="s">
        <v>70</v>
      </c>
      <c r="H29" s="38" t="s">
        <v>467</v>
      </c>
      <c r="I29" s="38" t="s">
        <v>468</v>
      </c>
      <c r="J29" s="38" t="s">
        <v>469</v>
      </c>
      <c r="K29" s="38" t="s">
        <v>459</v>
      </c>
      <c r="L29" s="38" t="s">
        <v>470</v>
      </c>
      <c r="M29" s="38" t="s">
        <v>471</v>
      </c>
      <c r="N29" s="38" t="s">
        <v>472</v>
      </c>
      <c r="O29" s="40" t="s">
        <v>473</v>
      </c>
    </row>
    <row r="30" spans="1:16" x14ac:dyDescent="0.25">
      <c r="B30" s="45">
        <v>1</v>
      </c>
      <c r="C30" s="411" t="e">
        <f>VLOOKUP(D30,'ПРАЙС ЮСТ'!B:C,15,0)</f>
        <v>#N/A</v>
      </c>
      <c r="D30" s="44" t="s">
        <v>498</v>
      </c>
      <c r="E30" s="45" t="s">
        <v>75</v>
      </c>
      <c r="F30" s="46">
        <v>18</v>
      </c>
      <c r="G30" s="407" t="e">
        <f>(K30*(1-N2))*0.87</f>
        <v>#N/A</v>
      </c>
      <c r="H30" s="407" t="e">
        <f>G30*F30</f>
        <v>#N/A</v>
      </c>
      <c r="I30" s="407" t="e">
        <f>F30*G30</f>
        <v>#N/A</v>
      </c>
      <c r="J30" s="407" t="e">
        <f>F30*G30</f>
        <v>#N/A</v>
      </c>
      <c r="K30" s="407" t="e">
        <f>VLOOKUP(C30,'ПРАЙС ЮСТ'!B:C,14,0)</f>
        <v>#N/A</v>
      </c>
      <c r="L30" s="407" t="e">
        <f>K30*F30</f>
        <v>#N/A</v>
      </c>
      <c r="M30" s="407" t="e">
        <f>L30*(1-$M$2)</f>
        <v>#N/A</v>
      </c>
      <c r="N30" s="407" t="e">
        <f>L30*(1-N2)</f>
        <v>#N/A</v>
      </c>
      <c r="O30" s="407" t="e">
        <f>L30*(1-$O$2)</f>
        <v>#N/A</v>
      </c>
      <c r="P30" s="397"/>
    </row>
    <row r="31" spans="1:16" x14ac:dyDescent="0.25">
      <c r="B31" s="43">
        <v>2</v>
      </c>
      <c r="C31" s="411" t="e">
        <f>VLOOKUP(D31,'ПРАЙС ЮСТ'!B:C,15,0)</f>
        <v>#N/A</v>
      </c>
      <c r="D31" s="44" t="s">
        <v>365</v>
      </c>
      <c r="E31" s="45" t="s">
        <v>75</v>
      </c>
      <c r="F31" s="46">
        <v>1</v>
      </c>
      <c r="G31" s="407" t="e">
        <f>VLOOKUP(C31,'ПРАЙС ЮСТ'!B:B,4,0)</f>
        <v>#N/A</v>
      </c>
      <c r="H31" s="407" t="e">
        <f>G31*F31</f>
        <v>#N/A</v>
      </c>
      <c r="I31" s="407" t="e">
        <f t="shared" ref="I31:I37" si="5">F31*G31</f>
        <v>#N/A</v>
      </c>
      <c r="J31" s="407" t="e">
        <f t="shared" ref="J31:J38" si="6">F31*G31</f>
        <v>#N/A</v>
      </c>
      <c r="K31" s="407" t="e">
        <f>VLOOKUP(C31,'ПРАЙС ЮСТ'!B:C,14,0)</f>
        <v>#N/A</v>
      </c>
      <c r="L31" s="407" t="e">
        <f t="shared" ref="L31:L38" si="7">K31*F31</f>
        <v>#N/A</v>
      </c>
      <c r="M31" s="419" t="e">
        <f>L31*(1-$M$2)</f>
        <v>#N/A</v>
      </c>
      <c r="N31" s="419" t="e">
        <f t="shared" ref="N31:N37" si="8">L31*(1-$N$2)</f>
        <v>#N/A</v>
      </c>
      <c r="O31" s="419" t="e">
        <f t="shared" ref="O31:O37" si="9">L31*(1-$O$2)</f>
        <v>#N/A</v>
      </c>
    </row>
    <row r="32" spans="1:16" x14ac:dyDescent="0.25">
      <c r="B32" s="43">
        <v>3</v>
      </c>
      <c r="C32" s="411" t="e">
        <f>VLOOKUP(D32,'ПРАЙС ЮСТ'!B:C,15,0)</f>
        <v>#N/A</v>
      </c>
      <c r="D32" s="44" t="s">
        <v>332</v>
      </c>
      <c r="E32" s="45" t="s">
        <v>75</v>
      </c>
      <c r="F32" s="45">
        <v>1</v>
      </c>
      <c r="G32" s="407" t="e">
        <f>VLOOKUP(C32,'ПРАЙС ЮСТ'!B:B,4,0)</f>
        <v>#N/A</v>
      </c>
      <c r="H32" s="407"/>
      <c r="I32" s="407" t="e">
        <f t="shared" si="5"/>
        <v>#N/A</v>
      </c>
      <c r="J32" s="407" t="e">
        <f t="shared" si="6"/>
        <v>#N/A</v>
      </c>
      <c r="K32" s="407" t="e">
        <f>VLOOKUP(C32,'ПРАЙС ЮСТ'!B:C,14,0)</f>
        <v>#N/A</v>
      </c>
      <c r="L32" s="407" t="e">
        <f t="shared" si="7"/>
        <v>#N/A</v>
      </c>
      <c r="M32" s="419"/>
      <c r="N32" s="419" t="e">
        <f t="shared" si="8"/>
        <v>#N/A</v>
      </c>
      <c r="O32" s="419" t="e">
        <f t="shared" si="9"/>
        <v>#N/A</v>
      </c>
    </row>
    <row r="33" spans="1:15" x14ac:dyDescent="0.25">
      <c r="B33" s="43">
        <v>4</v>
      </c>
      <c r="C33" s="411" t="e">
        <f>VLOOKUP(D33,'ПРАЙС ЮСТ'!B:C,15,0)</f>
        <v>#N/A</v>
      </c>
      <c r="D33" s="44" t="s">
        <v>335</v>
      </c>
      <c r="E33" s="45" t="s">
        <v>78</v>
      </c>
      <c r="F33" s="45">
        <v>25</v>
      </c>
      <c r="G33" s="407" t="e">
        <f>VLOOKUP(C33,'ПРАЙС ЮСТ'!B:B,4,0)</f>
        <v>#N/A</v>
      </c>
      <c r="H33" s="407"/>
      <c r="I33" s="407" t="e">
        <f t="shared" si="5"/>
        <v>#N/A</v>
      </c>
      <c r="J33" s="407" t="e">
        <f t="shared" si="6"/>
        <v>#N/A</v>
      </c>
      <c r="K33" s="407" t="e">
        <f>VLOOKUP(C33,'ПРАЙС ЮСТ'!B:C,14,0)</f>
        <v>#N/A</v>
      </c>
      <c r="L33" s="407" t="e">
        <f t="shared" si="7"/>
        <v>#N/A</v>
      </c>
      <c r="M33" s="419"/>
      <c r="N33" s="419" t="e">
        <f t="shared" si="8"/>
        <v>#N/A</v>
      </c>
      <c r="O33" s="419" t="e">
        <f t="shared" si="9"/>
        <v>#N/A</v>
      </c>
    </row>
    <row r="34" spans="1:15" x14ac:dyDescent="0.25">
      <c r="B34" s="43">
        <v>5</v>
      </c>
      <c r="C34" s="411" t="e">
        <f>VLOOKUP(D34,'ПРАЙС ЮСТ'!B:C,15,0)</f>
        <v>#N/A</v>
      </c>
      <c r="D34" s="44" t="s">
        <v>336</v>
      </c>
      <c r="E34" s="45" t="s">
        <v>78</v>
      </c>
      <c r="F34" s="45">
        <v>25</v>
      </c>
      <c r="G34" s="407" t="e">
        <f>VLOOKUP(C34,'ПРАЙС ЮСТ'!B:B,4,0)</f>
        <v>#N/A</v>
      </c>
      <c r="H34" s="407"/>
      <c r="I34" s="407" t="e">
        <f t="shared" si="5"/>
        <v>#N/A</v>
      </c>
      <c r="J34" s="407" t="e">
        <f t="shared" si="6"/>
        <v>#N/A</v>
      </c>
      <c r="K34" s="407" t="e">
        <f>VLOOKUP(C34,'ПРАЙС ЮСТ'!B:C,14,0)</f>
        <v>#N/A</v>
      </c>
      <c r="L34" s="407" t="e">
        <f t="shared" si="7"/>
        <v>#N/A</v>
      </c>
      <c r="M34" s="419"/>
      <c r="N34" s="419" t="e">
        <f t="shared" si="8"/>
        <v>#N/A</v>
      </c>
      <c r="O34" s="419" t="e">
        <f t="shared" si="9"/>
        <v>#N/A</v>
      </c>
    </row>
    <row r="35" spans="1:15" x14ac:dyDescent="0.25">
      <c r="B35" s="43">
        <v>6</v>
      </c>
      <c r="C35" s="411" t="e">
        <f>VLOOKUP(D35,'ПРАЙС ЮСТ'!B:C,15,0)</f>
        <v>#N/A</v>
      </c>
      <c r="D35" s="44" t="s">
        <v>443</v>
      </c>
      <c r="E35" s="45" t="s">
        <v>75</v>
      </c>
      <c r="F35" s="45">
        <v>2</v>
      </c>
      <c r="G35" s="407" t="e">
        <f>VLOOKUP(C35,'ПРАЙС ЮСТ'!B:B,4,0)</f>
        <v>#N/A</v>
      </c>
      <c r="H35" s="407"/>
      <c r="I35" s="407" t="e">
        <f t="shared" si="5"/>
        <v>#N/A</v>
      </c>
      <c r="J35" s="407" t="e">
        <f t="shared" si="6"/>
        <v>#N/A</v>
      </c>
      <c r="K35" s="407" t="e">
        <f>VLOOKUP(C35,'ПРАЙС ЮСТ'!B:C,14,0)</f>
        <v>#N/A</v>
      </c>
      <c r="L35" s="407" t="e">
        <f t="shared" si="7"/>
        <v>#N/A</v>
      </c>
      <c r="M35" s="419"/>
      <c r="N35" s="419" t="e">
        <f t="shared" si="8"/>
        <v>#N/A</v>
      </c>
      <c r="O35" s="419" t="e">
        <f t="shared" si="9"/>
        <v>#N/A</v>
      </c>
    </row>
    <row r="36" spans="1:15" x14ac:dyDescent="0.25">
      <c r="B36" s="43">
        <v>7</v>
      </c>
      <c r="C36" s="411" t="e">
        <f>VLOOKUP(D36,'ПРАЙС ЮСТ'!B:C,15,0)</f>
        <v>#N/A</v>
      </c>
      <c r="D36" s="44" t="s">
        <v>442</v>
      </c>
      <c r="E36" s="45" t="s">
        <v>75</v>
      </c>
      <c r="F36" s="45">
        <v>2</v>
      </c>
      <c r="G36" s="407" t="e">
        <f>VLOOKUP(C36,'ПРАЙС ЮСТ'!B:B,4,0)</f>
        <v>#N/A</v>
      </c>
      <c r="H36" s="407"/>
      <c r="I36" s="407" t="e">
        <f t="shared" si="5"/>
        <v>#N/A</v>
      </c>
      <c r="J36" s="407" t="e">
        <f t="shared" si="6"/>
        <v>#N/A</v>
      </c>
      <c r="K36" s="407" t="e">
        <f>VLOOKUP(C36,'ПРАЙС ЮСТ'!B:C,14,0)</f>
        <v>#N/A</v>
      </c>
      <c r="L36" s="407" t="e">
        <f t="shared" si="7"/>
        <v>#N/A</v>
      </c>
      <c r="M36" s="419"/>
      <c r="N36" s="419" t="e">
        <f t="shared" si="8"/>
        <v>#N/A</v>
      </c>
      <c r="O36" s="419" t="e">
        <f t="shared" si="9"/>
        <v>#N/A</v>
      </c>
    </row>
    <row r="37" spans="1:15" x14ac:dyDescent="0.25">
      <c r="B37" s="43">
        <v>8</v>
      </c>
      <c r="C37" s="411" t="e">
        <f>VLOOKUP(D37,'ПРАЙС ЮСТ'!B:C,15,0)</f>
        <v>#N/A</v>
      </c>
      <c r="D37" s="44" t="s">
        <v>350</v>
      </c>
      <c r="E37" s="45" t="s">
        <v>78</v>
      </c>
      <c r="F37" s="45">
        <v>1</v>
      </c>
      <c r="G37" s="407" t="e">
        <f>VLOOKUP(C37,'ПРАЙС ЮСТ'!B:B,4,0)</f>
        <v>#N/A</v>
      </c>
      <c r="H37" s="407"/>
      <c r="I37" s="407" t="e">
        <f t="shared" si="5"/>
        <v>#N/A</v>
      </c>
      <c r="J37" s="407" t="e">
        <f t="shared" si="6"/>
        <v>#N/A</v>
      </c>
      <c r="K37" s="407" t="e">
        <f>VLOOKUP(C37,'ПРАЙС ЮСТ'!B:C,14,0)</f>
        <v>#N/A</v>
      </c>
      <c r="L37" s="407" t="e">
        <f t="shared" si="7"/>
        <v>#N/A</v>
      </c>
      <c r="M37" s="419"/>
      <c r="N37" s="419" t="e">
        <f t="shared" si="8"/>
        <v>#N/A</v>
      </c>
      <c r="O37" s="419" t="e">
        <f t="shared" si="9"/>
        <v>#N/A</v>
      </c>
    </row>
    <row r="38" spans="1:15" x14ac:dyDescent="0.25">
      <c r="B38" s="43">
        <v>11</v>
      </c>
      <c r="C38" s="411" t="e">
        <f>VLOOKUP(D38,'ПРАЙС ЮСТ'!B:C,15,0)</f>
        <v>#N/A</v>
      </c>
      <c r="D38" s="44" t="s">
        <v>461</v>
      </c>
      <c r="E38" s="45" t="s">
        <v>75</v>
      </c>
      <c r="F38" s="46">
        <v>16</v>
      </c>
      <c r="G38" s="407" t="e">
        <f>VLOOKUP(C38,'ПРАЙС ЮСТ'!B:B,4,0)</f>
        <v>#N/A</v>
      </c>
      <c r="H38" s="407"/>
      <c r="I38" s="407"/>
      <c r="J38" s="407" t="e">
        <f t="shared" si="6"/>
        <v>#N/A</v>
      </c>
      <c r="K38" s="407" t="e">
        <f>VLOOKUP(C38,'ПРАЙС ЮСТ'!B:C,14,0)</f>
        <v>#N/A</v>
      </c>
      <c r="L38" s="407" t="e">
        <f t="shared" si="7"/>
        <v>#N/A</v>
      </c>
      <c r="M38" s="419"/>
      <c r="N38" s="419"/>
      <c r="O38" s="419" t="e">
        <f>L38*(1-$O$4)</f>
        <v>#N/A</v>
      </c>
    </row>
    <row r="39" spans="1:15" x14ac:dyDescent="0.25">
      <c r="B39" s="43">
        <v>12</v>
      </c>
      <c r="C39" s="412"/>
      <c r="D39" s="44" t="s">
        <v>474</v>
      </c>
      <c r="E39" s="45" t="s">
        <v>75</v>
      </c>
      <c r="F39" s="51">
        <v>1</v>
      </c>
      <c r="G39" s="408">
        <f>2015/1.2</f>
        <v>1679.1666666666667</v>
      </c>
      <c r="H39" s="407">
        <f>$G39*F39</f>
        <v>1679.1666666666667</v>
      </c>
      <c r="I39" s="407">
        <f>G39*F39</f>
        <v>1679.1666666666667</v>
      </c>
      <c r="J39" s="407">
        <f>F39*G39</f>
        <v>1679.1666666666667</v>
      </c>
      <c r="K39" s="409"/>
      <c r="L39" s="407">
        <f>G39*F39</f>
        <v>1679.1666666666667</v>
      </c>
      <c r="M39" s="420"/>
      <c r="N39" s="420"/>
      <c r="O39" s="420">
        <f>L39</f>
        <v>1679.1666666666667</v>
      </c>
    </row>
    <row r="40" spans="1:15" x14ac:dyDescent="0.25">
      <c r="B40" s="43">
        <v>13</v>
      </c>
      <c r="C40" s="412"/>
      <c r="D40" s="44" t="s">
        <v>476</v>
      </c>
      <c r="E40" s="45" t="s">
        <v>75</v>
      </c>
      <c r="F40" s="401">
        <v>1</v>
      </c>
      <c r="G40" s="408"/>
      <c r="H40" s="402"/>
      <c r="I40" s="407"/>
      <c r="J40" s="402"/>
      <c r="K40" s="402"/>
      <c r="L40" s="402"/>
      <c r="M40" s="421"/>
      <c r="N40" s="421"/>
      <c r="O40" s="421"/>
    </row>
    <row r="41" spans="1:15" x14ac:dyDescent="0.25">
      <c r="A41" s="24"/>
      <c r="B41" s="24"/>
      <c r="C41" s="24"/>
      <c r="D41" s="340" t="s">
        <v>460</v>
      </c>
      <c r="E41" s="43"/>
      <c r="F41" s="27"/>
      <c r="G41" s="65"/>
      <c r="H41" s="396" t="e">
        <f>SUM(H30:H40)</f>
        <v>#N/A</v>
      </c>
      <c r="I41" s="396" t="e">
        <f>SUM(I30:I40)</f>
        <v>#N/A</v>
      </c>
      <c r="J41" s="396" t="e">
        <f>SUM(J30:J40)</f>
        <v>#N/A</v>
      </c>
      <c r="K41" s="396"/>
      <c r="L41" s="396"/>
      <c r="M41" s="415" t="e">
        <f>SUM(M30:M39)</f>
        <v>#N/A</v>
      </c>
      <c r="N41" s="415" t="e">
        <f>SUM(N30:N39)</f>
        <v>#N/A</v>
      </c>
      <c r="O41" s="415" t="e">
        <f>SUM(O30:O40)</f>
        <v>#N/A</v>
      </c>
    </row>
    <row r="42" spans="1:15" x14ac:dyDescent="0.25">
      <c r="A42" s="24"/>
      <c r="B42" s="24"/>
      <c r="C42" s="24"/>
      <c r="D42" s="100"/>
      <c r="E42" s="24"/>
      <c r="F42" s="24"/>
      <c r="K42" s="24"/>
      <c r="L42" s="382"/>
      <c r="M42" s="24"/>
      <c r="N42" s="24"/>
      <c r="O42" s="24"/>
    </row>
    <row r="43" spans="1:15" x14ac:dyDescent="0.25">
      <c r="A43" s="24"/>
      <c r="B43" s="24"/>
      <c r="C43" s="24"/>
      <c r="F43" s="24"/>
      <c r="K43" t="s">
        <v>478</v>
      </c>
      <c r="M43" s="415" t="e">
        <f>ROUND(M41*1.2,-2)-10</f>
        <v>#N/A</v>
      </c>
      <c r="N43" s="415" t="e">
        <f>ROUND(N41*1.2,-2)-10</f>
        <v>#N/A</v>
      </c>
      <c r="O43" s="415" t="e">
        <f>ROUND(O41*1.2,-2)-10</f>
        <v>#N/A</v>
      </c>
    </row>
    <row r="44" spans="1:15" x14ac:dyDescent="0.25">
      <c r="A44" s="24"/>
      <c r="B44" s="24"/>
      <c r="C44" s="24"/>
      <c r="F44" s="24"/>
      <c r="K44" t="s">
        <v>499</v>
      </c>
      <c r="M44" s="416"/>
      <c r="N44" s="416">
        <v>323000</v>
      </c>
      <c r="O44" s="416"/>
    </row>
    <row r="45" spans="1:15" x14ac:dyDescent="0.25">
      <c r="A45" s="24"/>
      <c r="B45" s="24"/>
      <c r="C45" s="24"/>
      <c r="F45" s="24"/>
      <c r="K45" s="24" t="s">
        <v>475</v>
      </c>
      <c r="M45" s="434" t="e">
        <f>(M41-H41)/M41</f>
        <v>#N/A</v>
      </c>
      <c r="N45" s="434" t="e">
        <f>(N41-I41)/N41</f>
        <v>#N/A</v>
      </c>
      <c r="O45" s="434" t="e">
        <f>(O41-J41)/O41</f>
        <v>#N/A</v>
      </c>
    </row>
    <row r="49" spans="1:16" ht="15.75" thickBot="1" x14ac:dyDescent="0.3">
      <c r="B49" s="24"/>
      <c r="C49" s="24"/>
      <c r="D49" s="31" t="s">
        <v>246</v>
      </c>
      <c r="E49" s="31">
        <f>F51*0.28</f>
        <v>8.4</v>
      </c>
      <c r="F49" s="31" t="s">
        <v>64</v>
      </c>
      <c r="G49" s="25"/>
      <c r="H49" s="32"/>
      <c r="I49" s="32"/>
      <c r="J49" s="32"/>
      <c r="K49" s="25"/>
      <c r="L49" s="25"/>
      <c r="M49" s="399"/>
      <c r="N49" s="399"/>
      <c r="O49" s="399"/>
    </row>
    <row r="50" spans="1:16" ht="45.75" thickBot="1" x14ac:dyDescent="0.3">
      <c r="B50" s="34" t="s">
        <v>33</v>
      </c>
      <c r="C50" s="410"/>
      <c r="D50" s="35" t="s">
        <v>0</v>
      </c>
      <c r="E50" s="36" t="s">
        <v>68</v>
      </c>
      <c r="F50" s="37" t="s">
        <v>69</v>
      </c>
      <c r="G50" s="38" t="s">
        <v>70</v>
      </c>
      <c r="H50" s="38" t="s">
        <v>467</v>
      </c>
      <c r="I50" s="38" t="s">
        <v>468</v>
      </c>
      <c r="J50" s="38" t="s">
        <v>469</v>
      </c>
      <c r="K50" s="38" t="s">
        <v>459</v>
      </c>
      <c r="L50" s="38" t="s">
        <v>470</v>
      </c>
      <c r="M50" s="38" t="s">
        <v>471</v>
      </c>
      <c r="N50" s="38" t="s">
        <v>472</v>
      </c>
      <c r="O50" s="40" t="s">
        <v>473</v>
      </c>
    </row>
    <row r="51" spans="1:16" x14ac:dyDescent="0.25">
      <c r="B51" s="45">
        <v>1</v>
      </c>
      <c r="C51" s="411" t="e">
        <f>VLOOKUP(D51,'ПРАЙС ЮСТ'!B:C,15,0)</f>
        <v>#N/A</v>
      </c>
      <c r="D51" s="44" t="s">
        <v>498</v>
      </c>
      <c r="E51" s="45" t="s">
        <v>75</v>
      </c>
      <c r="F51" s="46">
        <v>30</v>
      </c>
      <c r="G51" s="407" t="e">
        <f>(K51*(1-N2))*0.87</f>
        <v>#N/A</v>
      </c>
      <c r="H51" s="407" t="e">
        <f>G51*F51</f>
        <v>#N/A</v>
      </c>
      <c r="I51" s="407" t="e">
        <f>F51*G51</f>
        <v>#N/A</v>
      </c>
      <c r="J51" s="407" t="e">
        <f>F51*G51</f>
        <v>#N/A</v>
      </c>
      <c r="K51" s="407" t="e">
        <f>VLOOKUP(C51,'ПРАЙС ЮСТ'!B:C,14,0)</f>
        <v>#N/A</v>
      </c>
      <c r="L51" s="407" t="e">
        <f>K51*F51</f>
        <v>#N/A</v>
      </c>
      <c r="M51" s="407" t="e">
        <f>L51*(1-$M$2)</f>
        <v>#N/A</v>
      </c>
      <c r="N51" s="407" t="e">
        <f>L51*(1-N2)</f>
        <v>#N/A</v>
      </c>
      <c r="O51" s="407" t="e">
        <f>L51*(1-$O$2)</f>
        <v>#N/A</v>
      </c>
      <c r="P51" s="397"/>
    </row>
    <row r="52" spans="1:16" x14ac:dyDescent="0.25">
      <c r="B52" s="43">
        <v>2</v>
      </c>
      <c r="C52" s="411" t="e">
        <f>VLOOKUP(D52,'ПРАЙС ЮСТ'!B:C,15,0)</f>
        <v>#N/A</v>
      </c>
      <c r="D52" s="44" t="s">
        <v>366</v>
      </c>
      <c r="E52" s="45" t="s">
        <v>75</v>
      </c>
      <c r="F52" s="46">
        <v>1</v>
      </c>
      <c r="G52" s="407" t="e">
        <f>VLOOKUP(C52,'ПРАЙС ЮСТ'!B:B,4,0)</f>
        <v>#N/A</v>
      </c>
      <c r="H52" s="407" t="e">
        <f>G52*F52</f>
        <v>#N/A</v>
      </c>
      <c r="I52" s="407" t="e">
        <f t="shared" ref="I52:I58" si="10">F52*G52</f>
        <v>#N/A</v>
      </c>
      <c r="J52" s="407" t="e">
        <f t="shared" ref="J52:J59" si="11">F52*G52</f>
        <v>#N/A</v>
      </c>
      <c r="K52" s="407" t="e">
        <f>VLOOKUP(C52,'ПРАЙС ЮСТ'!B:C,14,0)</f>
        <v>#N/A</v>
      </c>
      <c r="L52" s="407" t="e">
        <f t="shared" ref="L52:L59" si="12">K52*F52</f>
        <v>#N/A</v>
      </c>
      <c r="M52" s="419" t="e">
        <f>L52*(1-$M$3)</f>
        <v>#N/A</v>
      </c>
      <c r="N52" s="419" t="e">
        <f>L52*(1-$N$3)</f>
        <v>#N/A</v>
      </c>
      <c r="O52" s="419" t="e">
        <f>L52*(1-$O$3)</f>
        <v>#N/A</v>
      </c>
    </row>
    <row r="53" spans="1:16" x14ac:dyDescent="0.25">
      <c r="B53" s="43">
        <v>4</v>
      </c>
      <c r="C53" s="411" t="e">
        <f>VLOOKUP(D53,'ПРАЙС ЮСТ'!B:C,15,0)</f>
        <v>#N/A</v>
      </c>
      <c r="D53" s="44" t="s">
        <v>333</v>
      </c>
      <c r="E53" s="45" t="s">
        <v>75</v>
      </c>
      <c r="F53" s="45">
        <v>1</v>
      </c>
      <c r="G53" s="407" t="e">
        <f>VLOOKUP(C53,'ПРАЙС ЮСТ'!B:B,4,0)</f>
        <v>#N/A</v>
      </c>
      <c r="H53" s="407"/>
      <c r="I53" s="407" t="e">
        <f t="shared" si="10"/>
        <v>#N/A</v>
      </c>
      <c r="J53" s="407" t="e">
        <f t="shared" si="11"/>
        <v>#N/A</v>
      </c>
      <c r="K53" s="407" t="e">
        <f>VLOOKUP(C53,'ПРАЙС ЮСТ'!B:C,14,0)</f>
        <v>#N/A</v>
      </c>
      <c r="L53" s="407" t="e">
        <f t="shared" si="12"/>
        <v>#N/A</v>
      </c>
      <c r="M53" s="419"/>
      <c r="N53" s="419" t="e">
        <f t="shared" ref="N53:N58" si="13">L53*(1-$N$3)</f>
        <v>#N/A</v>
      </c>
      <c r="O53" s="419" t="e">
        <f t="shared" ref="O53:O58" si="14">L53*(1-$O$3)</f>
        <v>#N/A</v>
      </c>
    </row>
    <row r="54" spans="1:16" x14ac:dyDescent="0.25">
      <c r="B54" s="43">
        <v>5</v>
      </c>
      <c r="C54" s="411" t="e">
        <f>VLOOKUP(D54,'ПРАЙС ЮСТ'!B:C,15,0)</f>
        <v>#N/A</v>
      </c>
      <c r="D54" s="44" t="s">
        <v>335</v>
      </c>
      <c r="E54" s="45" t="s">
        <v>78</v>
      </c>
      <c r="F54" s="45">
        <v>30</v>
      </c>
      <c r="G54" s="407" t="e">
        <f>VLOOKUP(C54,'ПРАЙС ЮСТ'!B:B,4,0)</f>
        <v>#N/A</v>
      </c>
      <c r="H54" s="407"/>
      <c r="I54" s="407" t="e">
        <f t="shared" si="10"/>
        <v>#N/A</v>
      </c>
      <c r="J54" s="407" t="e">
        <f t="shared" si="11"/>
        <v>#N/A</v>
      </c>
      <c r="K54" s="407" t="e">
        <f>VLOOKUP(C54,'ПРАЙС ЮСТ'!B:C,14,0)</f>
        <v>#N/A</v>
      </c>
      <c r="L54" s="407" t="e">
        <f t="shared" si="12"/>
        <v>#N/A</v>
      </c>
      <c r="M54" s="419"/>
      <c r="N54" s="419" t="e">
        <f t="shared" si="13"/>
        <v>#N/A</v>
      </c>
      <c r="O54" s="419" t="e">
        <f t="shared" si="14"/>
        <v>#N/A</v>
      </c>
    </row>
    <row r="55" spans="1:16" x14ac:dyDescent="0.25">
      <c r="B55" s="43">
        <v>6</v>
      </c>
      <c r="C55" s="411" t="e">
        <f>VLOOKUP(D55,'ПРАЙС ЮСТ'!B:C,15,0)</f>
        <v>#N/A</v>
      </c>
      <c r="D55" s="44" t="s">
        <v>336</v>
      </c>
      <c r="E55" s="45" t="s">
        <v>78</v>
      </c>
      <c r="F55" s="45">
        <v>30</v>
      </c>
      <c r="G55" s="407" t="e">
        <f>VLOOKUP(C55,'ПРАЙС ЮСТ'!B:B,4,0)</f>
        <v>#N/A</v>
      </c>
      <c r="H55" s="407"/>
      <c r="I55" s="407" t="e">
        <f t="shared" si="10"/>
        <v>#N/A</v>
      </c>
      <c r="J55" s="407" t="e">
        <f t="shared" si="11"/>
        <v>#N/A</v>
      </c>
      <c r="K55" s="407" t="e">
        <f>VLOOKUP(C55,'ПРАЙС ЮСТ'!B:C,14,0)</f>
        <v>#N/A</v>
      </c>
      <c r="L55" s="407" t="e">
        <f t="shared" si="12"/>
        <v>#N/A</v>
      </c>
      <c r="M55" s="419"/>
      <c r="N55" s="419" t="e">
        <f t="shared" si="13"/>
        <v>#N/A</v>
      </c>
      <c r="O55" s="419" t="e">
        <f t="shared" si="14"/>
        <v>#N/A</v>
      </c>
    </row>
    <row r="56" spans="1:16" x14ac:dyDescent="0.25">
      <c r="B56" s="43">
        <v>7</v>
      </c>
      <c r="C56" s="411" t="e">
        <f>VLOOKUP(D56,'ПРАЙС ЮСТ'!B:C,15,0)</f>
        <v>#N/A</v>
      </c>
      <c r="D56" s="44" t="s">
        <v>443</v>
      </c>
      <c r="E56" s="45" t="s">
        <v>75</v>
      </c>
      <c r="F56" s="45">
        <v>2</v>
      </c>
      <c r="G56" s="407" t="e">
        <f>VLOOKUP(C56,'ПРАЙС ЮСТ'!B:B,4,0)</f>
        <v>#N/A</v>
      </c>
      <c r="H56" s="407"/>
      <c r="I56" s="407" t="e">
        <f t="shared" si="10"/>
        <v>#N/A</v>
      </c>
      <c r="J56" s="407" t="e">
        <f t="shared" si="11"/>
        <v>#N/A</v>
      </c>
      <c r="K56" s="407" t="e">
        <f>VLOOKUP(C56,'ПРАЙС ЮСТ'!B:C,14,0)</f>
        <v>#N/A</v>
      </c>
      <c r="L56" s="407" t="e">
        <f t="shared" si="12"/>
        <v>#N/A</v>
      </c>
      <c r="M56" s="419"/>
      <c r="N56" s="419" t="e">
        <f t="shared" si="13"/>
        <v>#N/A</v>
      </c>
      <c r="O56" s="419" t="e">
        <f t="shared" si="14"/>
        <v>#N/A</v>
      </c>
    </row>
    <row r="57" spans="1:16" x14ac:dyDescent="0.25">
      <c r="B57" s="43">
        <v>8</v>
      </c>
      <c r="C57" s="411" t="e">
        <f>VLOOKUP(D57,'ПРАЙС ЮСТ'!B:C,15,0)</f>
        <v>#N/A</v>
      </c>
      <c r="D57" s="44" t="s">
        <v>442</v>
      </c>
      <c r="E57" s="45" t="s">
        <v>75</v>
      </c>
      <c r="F57" s="45">
        <v>2</v>
      </c>
      <c r="G57" s="407" t="e">
        <f>VLOOKUP(C57,'ПРАЙС ЮСТ'!B:B,4,0)</f>
        <v>#N/A</v>
      </c>
      <c r="H57" s="407"/>
      <c r="I57" s="407" t="e">
        <f t="shared" si="10"/>
        <v>#N/A</v>
      </c>
      <c r="J57" s="407" t="e">
        <f t="shared" si="11"/>
        <v>#N/A</v>
      </c>
      <c r="K57" s="407" t="e">
        <f>VLOOKUP(C57,'ПРАЙС ЮСТ'!B:C,14,0)</f>
        <v>#N/A</v>
      </c>
      <c r="L57" s="407" t="e">
        <f t="shared" si="12"/>
        <v>#N/A</v>
      </c>
      <c r="M57" s="419"/>
      <c r="N57" s="419" t="e">
        <f t="shared" si="13"/>
        <v>#N/A</v>
      </c>
      <c r="O57" s="419" t="e">
        <f t="shared" si="14"/>
        <v>#N/A</v>
      </c>
    </row>
    <row r="58" spans="1:16" x14ac:dyDescent="0.25">
      <c r="B58" s="43">
        <v>9</v>
      </c>
      <c r="C58" s="411" t="e">
        <f>VLOOKUP(D58,'ПРАЙС ЮСТ'!B:C,15,0)</f>
        <v>#N/A</v>
      </c>
      <c r="D58" s="44" t="s">
        <v>353</v>
      </c>
      <c r="E58" s="45" t="s">
        <v>78</v>
      </c>
      <c r="F58" s="45">
        <v>1</v>
      </c>
      <c r="G58" s="407" t="e">
        <f>VLOOKUP(C58,'ПРАЙС ЮСТ'!B:B,4,0)</f>
        <v>#N/A</v>
      </c>
      <c r="H58" s="407"/>
      <c r="I58" s="407" t="e">
        <f t="shared" si="10"/>
        <v>#N/A</v>
      </c>
      <c r="J58" s="407" t="e">
        <f t="shared" si="11"/>
        <v>#N/A</v>
      </c>
      <c r="K58" s="407" t="e">
        <f>VLOOKUP(C58,'ПРАЙС ЮСТ'!B:C,14,0)</f>
        <v>#N/A</v>
      </c>
      <c r="L58" s="407" t="e">
        <f t="shared" si="12"/>
        <v>#N/A</v>
      </c>
      <c r="M58" s="419"/>
      <c r="N58" s="419" t="e">
        <f t="shared" si="13"/>
        <v>#N/A</v>
      </c>
      <c r="O58" s="419" t="e">
        <f t="shared" si="14"/>
        <v>#N/A</v>
      </c>
    </row>
    <row r="59" spans="1:16" x14ac:dyDescent="0.25">
      <c r="A59" s="24"/>
      <c r="B59" s="43">
        <v>9</v>
      </c>
      <c r="C59" s="411" t="e">
        <f>VLOOKUP(D59,'ПРАЙС ЮСТ'!B:C,15,0)</f>
        <v>#N/A</v>
      </c>
      <c r="D59" s="44" t="s">
        <v>461</v>
      </c>
      <c r="E59" s="85"/>
      <c r="F59" s="51">
        <v>34</v>
      </c>
      <c r="G59" s="407" t="e">
        <f>VLOOKUP(C59,'ПРАЙС ЮСТ'!B:B,4,0)</f>
        <v>#N/A</v>
      </c>
      <c r="H59" s="407"/>
      <c r="I59" s="407"/>
      <c r="J59" s="407" t="e">
        <f t="shared" si="11"/>
        <v>#N/A</v>
      </c>
      <c r="K59" s="407" t="e">
        <f>VLOOKUP(C59,'ПРАЙС ЮСТ'!B:C,14,0)</f>
        <v>#N/A</v>
      </c>
      <c r="L59" s="407" t="e">
        <f t="shared" si="12"/>
        <v>#N/A</v>
      </c>
      <c r="M59" s="419"/>
      <c r="N59" s="419"/>
      <c r="O59" s="419" t="e">
        <f>L59*(1-$O$4)</f>
        <v>#N/A</v>
      </c>
    </row>
    <row r="60" spans="1:16" x14ac:dyDescent="0.25">
      <c r="A60" s="24"/>
      <c r="B60" s="43"/>
      <c r="C60" s="411"/>
      <c r="D60" s="44" t="s">
        <v>474</v>
      </c>
      <c r="E60" s="400"/>
      <c r="F60" s="401">
        <v>1</v>
      </c>
      <c r="G60" s="408">
        <f>3013/1.2</f>
        <v>2510.8333333333335</v>
      </c>
      <c r="H60" s="407">
        <f>$G60*F60</f>
        <v>2510.8333333333335</v>
      </c>
      <c r="I60" s="407">
        <f>G60*F60</f>
        <v>2510.8333333333335</v>
      </c>
      <c r="J60" s="407">
        <f>F60*G60</f>
        <v>2510.8333333333335</v>
      </c>
      <c r="K60" s="409"/>
      <c r="L60" s="407">
        <f>G60*F60</f>
        <v>2510.8333333333335</v>
      </c>
      <c r="M60" s="420"/>
      <c r="N60" s="420"/>
      <c r="O60" s="420">
        <f>L60</f>
        <v>2510.8333333333335</v>
      </c>
    </row>
    <row r="61" spans="1:16" x14ac:dyDescent="0.25">
      <c r="A61" s="24"/>
      <c r="B61" s="43"/>
      <c r="C61" s="412"/>
      <c r="D61" s="44" t="s">
        <v>476</v>
      </c>
      <c r="E61" s="400"/>
      <c r="F61" s="401"/>
      <c r="G61" s="408"/>
      <c r="H61" s="402"/>
      <c r="I61" s="407"/>
      <c r="J61" s="402"/>
      <c r="K61" s="402"/>
      <c r="L61" s="402">
        <f>J61</f>
        <v>0</v>
      </c>
      <c r="M61" s="421"/>
      <c r="N61" s="421"/>
      <c r="O61" s="421">
        <f>L61*(1-$O$5)</f>
        <v>0</v>
      </c>
    </row>
    <row r="62" spans="1:16" x14ac:dyDescent="0.25">
      <c r="A62" s="24"/>
      <c r="B62" s="24"/>
      <c r="C62" s="24"/>
      <c r="D62" s="340" t="s">
        <v>460</v>
      </c>
      <c r="E62" s="43"/>
      <c r="F62" s="27"/>
      <c r="G62" s="65"/>
      <c r="H62" s="396" t="e">
        <f>SUM(H51:H61)</f>
        <v>#N/A</v>
      </c>
      <c r="I62" s="396" t="e">
        <f>SUM(I51:I61)</f>
        <v>#N/A</v>
      </c>
      <c r="J62" s="396" t="e">
        <f>SUM(J51:J61)</f>
        <v>#N/A</v>
      </c>
      <c r="K62" s="396"/>
      <c r="L62" s="396"/>
      <c r="M62" s="415" t="e">
        <f>SUM(M51:M60)</f>
        <v>#N/A</v>
      </c>
      <c r="N62" s="415" t="e">
        <f>SUM(N51:N60)</f>
        <v>#N/A</v>
      </c>
      <c r="O62" s="415" t="e">
        <f>SUM(O51:O61)</f>
        <v>#N/A</v>
      </c>
    </row>
    <row r="63" spans="1:16" x14ac:dyDescent="0.25">
      <c r="A63" s="24"/>
      <c r="B63" s="24"/>
      <c r="C63" s="24"/>
      <c r="F63" s="24"/>
      <c r="K63" s="24"/>
      <c r="L63" s="24"/>
      <c r="M63" s="24"/>
      <c r="N63" s="24"/>
      <c r="O63" s="24"/>
    </row>
    <row r="64" spans="1:16" x14ac:dyDescent="0.25">
      <c r="A64" s="24"/>
      <c r="B64" s="24"/>
      <c r="C64" s="24"/>
      <c r="F64" s="24"/>
      <c r="K64" t="s">
        <v>478</v>
      </c>
      <c r="M64" s="415" t="e">
        <f>ROUND(M62*1.2,-2)-10</f>
        <v>#N/A</v>
      </c>
      <c r="N64" s="415" t="e">
        <f>ROUND(N62*1.2,-2)-10</f>
        <v>#N/A</v>
      </c>
      <c r="O64" s="415" t="e">
        <f>ROUND(O62*1.2,-2)-10</f>
        <v>#N/A</v>
      </c>
    </row>
    <row r="65" spans="1:16" x14ac:dyDescent="0.25">
      <c r="A65" s="24"/>
      <c r="B65" s="24"/>
      <c r="C65" s="24"/>
      <c r="F65" s="24"/>
      <c r="K65" t="s">
        <v>499</v>
      </c>
      <c r="M65" s="416"/>
      <c r="N65" s="416">
        <v>529000</v>
      </c>
      <c r="O65" s="416"/>
    </row>
    <row r="66" spans="1:16" x14ac:dyDescent="0.25">
      <c r="A66" s="24"/>
      <c r="B66" s="24"/>
      <c r="C66" s="24"/>
      <c r="F66" s="24"/>
      <c r="K66" s="24" t="s">
        <v>475</v>
      </c>
      <c r="M66" s="413" t="e">
        <f>(M62-H62)/M62</f>
        <v>#N/A</v>
      </c>
      <c r="N66" s="413" t="e">
        <f>(N62-I62)/N62</f>
        <v>#N/A</v>
      </c>
      <c r="O66" s="413" t="e">
        <f>(O62-J62)/O62</f>
        <v>#N/A</v>
      </c>
    </row>
    <row r="69" spans="1:16" ht="15.75" thickBot="1" x14ac:dyDescent="0.3">
      <c r="B69" s="24"/>
      <c r="C69" s="24"/>
      <c r="D69" s="31" t="s">
        <v>247</v>
      </c>
      <c r="E69" s="31">
        <f>F71*0.28</f>
        <v>15.120000000000001</v>
      </c>
      <c r="F69" s="31" t="s">
        <v>64</v>
      </c>
      <c r="G69" s="25"/>
      <c r="H69" s="32"/>
      <c r="I69" s="32"/>
      <c r="J69" s="32"/>
      <c r="K69" s="25"/>
      <c r="L69" s="25"/>
      <c r="M69" s="399"/>
      <c r="N69" s="399"/>
      <c r="O69" s="399"/>
    </row>
    <row r="70" spans="1:16" ht="45.75" thickBot="1" x14ac:dyDescent="0.3">
      <c r="B70" s="403" t="s">
        <v>33</v>
      </c>
      <c r="C70" s="403"/>
      <c r="D70" s="404" t="s">
        <v>0</v>
      </c>
      <c r="E70" s="405" t="s">
        <v>68</v>
      </c>
      <c r="F70" s="404" t="s">
        <v>69</v>
      </c>
      <c r="G70" s="38" t="s">
        <v>70</v>
      </c>
      <c r="H70" s="38" t="s">
        <v>467</v>
      </c>
      <c r="I70" s="38" t="s">
        <v>468</v>
      </c>
      <c r="J70" s="38" t="s">
        <v>469</v>
      </c>
      <c r="K70" s="38" t="s">
        <v>459</v>
      </c>
      <c r="L70" s="38" t="s">
        <v>470</v>
      </c>
      <c r="M70" s="38" t="s">
        <v>471</v>
      </c>
      <c r="N70" s="38" t="s">
        <v>472</v>
      </c>
      <c r="O70" s="40" t="s">
        <v>473</v>
      </c>
    </row>
    <row r="71" spans="1:16" x14ac:dyDescent="0.25">
      <c r="B71" s="45">
        <v>1</v>
      </c>
      <c r="C71" s="411" t="e">
        <f>VLOOKUP(D71,'ПРАЙС ЮСТ'!B:C,15,0)</f>
        <v>#N/A</v>
      </c>
      <c r="D71" s="44" t="s">
        <v>498</v>
      </c>
      <c r="E71" s="45" t="s">
        <v>75</v>
      </c>
      <c r="F71" s="46">
        <v>54</v>
      </c>
      <c r="G71" s="407" t="e">
        <f>(K71*(1-N2))*0.87</f>
        <v>#N/A</v>
      </c>
      <c r="H71" s="407" t="e">
        <f>G71*F71</f>
        <v>#N/A</v>
      </c>
      <c r="I71" s="407" t="e">
        <f>F71*G71</f>
        <v>#N/A</v>
      </c>
      <c r="J71" s="407" t="e">
        <f>F71*G71</f>
        <v>#N/A</v>
      </c>
      <c r="K71" s="407" t="e">
        <f>VLOOKUP(C71,'ПРАЙС ЮСТ'!B:C,14,0)</f>
        <v>#N/A</v>
      </c>
      <c r="L71" s="407" t="e">
        <f>K71*F71</f>
        <v>#N/A</v>
      </c>
      <c r="M71" s="407" t="e">
        <f>L71*(1-$M$2)</f>
        <v>#N/A</v>
      </c>
      <c r="N71" s="407" t="e">
        <f>L71*(1-N2)</f>
        <v>#N/A</v>
      </c>
      <c r="O71" s="407" t="e">
        <f>L71*(1-$O$2)</f>
        <v>#N/A</v>
      </c>
      <c r="P71" s="397"/>
    </row>
    <row r="72" spans="1:16" x14ac:dyDescent="0.25">
      <c r="B72" s="43">
        <v>2</v>
      </c>
      <c r="C72" s="411" t="e">
        <f>VLOOKUP(D72,'ПРАЙС ЮСТ'!B:C,15,0)</f>
        <v>#N/A</v>
      </c>
      <c r="D72" s="27" t="s">
        <v>363</v>
      </c>
      <c r="E72" s="43" t="s">
        <v>75</v>
      </c>
      <c r="F72" s="51">
        <v>1</v>
      </c>
      <c r="G72" s="407" t="e">
        <f>VLOOKUP(C72,'ПРАЙС ЮСТ'!B:B,4,0)</f>
        <v>#N/A</v>
      </c>
      <c r="H72" s="407" t="e">
        <f>G72*F72</f>
        <v>#N/A</v>
      </c>
      <c r="I72" s="407" t="e">
        <f>F72*G72</f>
        <v>#N/A</v>
      </c>
      <c r="J72" s="407" t="e">
        <f>F72*G72</f>
        <v>#N/A</v>
      </c>
      <c r="K72" s="407" t="e">
        <f>VLOOKUP(C72,'ПРАЙС ЮСТ'!B:C,14,0)</f>
        <v>#N/A</v>
      </c>
      <c r="L72" s="407" t="e">
        <f>K72*F72</f>
        <v>#N/A</v>
      </c>
      <c r="M72" s="419" t="e">
        <f>L72*(1-$M$2)</f>
        <v>#N/A</v>
      </c>
      <c r="N72" s="419" t="e">
        <f>L72*(1-$N$2)</f>
        <v>#N/A</v>
      </c>
      <c r="O72" s="419" t="e">
        <f>L72*(1-$O$2)</f>
        <v>#N/A</v>
      </c>
    </row>
    <row r="73" spans="1:16" x14ac:dyDescent="0.25">
      <c r="B73" s="43">
        <v>3</v>
      </c>
      <c r="C73" s="411" t="e">
        <f>VLOOKUP(D73,'ПРАЙС ЮСТ'!B:C,15,0)</f>
        <v>#N/A</v>
      </c>
      <c r="D73" s="27" t="s">
        <v>334</v>
      </c>
      <c r="E73" s="43" t="s">
        <v>75</v>
      </c>
      <c r="F73" s="43">
        <v>1</v>
      </c>
      <c r="G73" s="407" t="e">
        <f>VLOOKUP(C73,'ПРАЙС ЮСТ'!B:B,4,0)</f>
        <v>#N/A</v>
      </c>
      <c r="H73" s="407"/>
      <c r="I73" s="407" t="e">
        <f t="shared" ref="I73:I78" si="15">F73*G73</f>
        <v>#N/A</v>
      </c>
      <c r="J73" s="407" t="e">
        <f t="shared" ref="J73:J79" si="16">F73*G73</f>
        <v>#N/A</v>
      </c>
      <c r="K73" s="407" t="e">
        <f>VLOOKUP(C73,'ПРАЙС ЮСТ'!B:C,14,0)</f>
        <v>#N/A</v>
      </c>
      <c r="L73" s="407" t="e">
        <f t="shared" ref="L73:L79" si="17">K73*F73</f>
        <v>#N/A</v>
      </c>
      <c r="M73" s="419"/>
      <c r="N73" s="419" t="e">
        <f t="shared" ref="N73:N78" si="18">L73*(1-$N$3)</f>
        <v>#N/A</v>
      </c>
      <c r="O73" s="419" t="e">
        <f t="shared" ref="O73:O78" si="19">L73*(1-$O$3)</f>
        <v>#N/A</v>
      </c>
    </row>
    <row r="74" spans="1:16" x14ac:dyDescent="0.25">
      <c r="B74" s="43">
        <v>4</v>
      </c>
      <c r="C74" s="411" t="e">
        <f>VLOOKUP(D74,'ПРАЙС ЮСТ'!B:C,15,0)</f>
        <v>#N/A</v>
      </c>
      <c r="D74" s="44" t="s">
        <v>335</v>
      </c>
      <c r="E74" s="43" t="s">
        <v>78</v>
      </c>
      <c r="F74" s="43">
        <v>45</v>
      </c>
      <c r="G74" s="407" t="e">
        <f>VLOOKUP(C74,'ПРАЙС ЮСТ'!B:B,4,0)</f>
        <v>#N/A</v>
      </c>
      <c r="H74" s="407"/>
      <c r="I74" s="407" t="e">
        <f t="shared" si="15"/>
        <v>#N/A</v>
      </c>
      <c r="J74" s="407" t="e">
        <f t="shared" si="16"/>
        <v>#N/A</v>
      </c>
      <c r="K74" s="407" t="e">
        <f>VLOOKUP(C74,'ПРАЙС ЮСТ'!B:C,14,0)</f>
        <v>#N/A</v>
      </c>
      <c r="L74" s="407" t="e">
        <f t="shared" si="17"/>
        <v>#N/A</v>
      </c>
      <c r="M74" s="419"/>
      <c r="N74" s="419" t="e">
        <f t="shared" si="18"/>
        <v>#N/A</v>
      </c>
      <c r="O74" s="419" t="e">
        <f t="shared" si="19"/>
        <v>#N/A</v>
      </c>
    </row>
    <row r="75" spans="1:16" x14ac:dyDescent="0.25">
      <c r="B75" s="43">
        <v>5</v>
      </c>
      <c r="C75" s="411" t="e">
        <f>VLOOKUP(D75,'ПРАЙС ЮСТ'!B:C,15,0)</f>
        <v>#N/A</v>
      </c>
      <c r="D75" s="44" t="s">
        <v>336</v>
      </c>
      <c r="E75" s="43" t="s">
        <v>78</v>
      </c>
      <c r="F75" s="43">
        <v>45</v>
      </c>
      <c r="G75" s="407" t="e">
        <f>VLOOKUP(C75,'ПРАЙС ЮСТ'!B:B,4,0)</f>
        <v>#N/A</v>
      </c>
      <c r="H75" s="407"/>
      <c r="I75" s="407" t="e">
        <f t="shared" si="15"/>
        <v>#N/A</v>
      </c>
      <c r="J75" s="407" t="e">
        <f t="shared" si="16"/>
        <v>#N/A</v>
      </c>
      <c r="K75" s="407" t="e">
        <f>VLOOKUP(C75,'ПРАЙС ЮСТ'!B:C,14,0)</f>
        <v>#N/A</v>
      </c>
      <c r="L75" s="407" t="e">
        <f t="shared" si="17"/>
        <v>#N/A</v>
      </c>
      <c r="M75" s="419"/>
      <c r="N75" s="419" t="e">
        <f t="shared" si="18"/>
        <v>#N/A</v>
      </c>
      <c r="O75" s="419" t="e">
        <f t="shared" si="19"/>
        <v>#N/A</v>
      </c>
    </row>
    <row r="76" spans="1:16" x14ac:dyDescent="0.25">
      <c r="B76" s="43">
        <v>6</v>
      </c>
      <c r="C76" s="411" t="e">
        <f>VLOOKUP(D76,'ПРАЙС ЮСТ'!B:C,15,0)</f>
        <v>#N/A</v>
      </c>
      <c r="D76" s="44" t="s">
        <v>443</v>
      </c>
      <c r="E76" s="43" t="s">
        <v>75</v>
      </c>
      <c r="F76" s="43">
        <v>3</v>
      </c>
      <c r="G76" s="407" t="e">
        <f>VLOOKUP(C76,'ПРАЙС ЮСТ'!B:B,4,0)</f>
        <v>#N/A</v>
      </c>
      <c r="H76" s="407"/>
      <c r="I76" s="407" t="e">
        <f t="shared" si="15"/>
        <v>#N/A</v>
      </c>
      <c r="J76" s="407" t="e">
        <f t="shared" si="16"/>
        <v>#N/A</v>
      </c>
      <c r="K76" s="407" t="e">
        <f>VLOOKUP(C76,'ПРАЙС ЮСТ'!B:C,14,0)</f>
        <v>#N/A</v>
      </c>
      <c r="L76" s="407" t="e">
        <f t="shared" si="17"/>
        <v>#N/A</v>
      </c>
      <c r="M76" s="419"/>
      <c r="N76" s="419" t="e">
        <f t="shared" si="18"/>
        <v>#N/A</v>
      </c>
      <c r="O76" s="419" t="e">
        <f t="shared" si="19"/>
        <v>#N/A</v>
      </c>
    </row>
    <row r="77" spans="1:16" x14ac:dyDescent="0.25">
      <c r="B77" s="43">
        <v>7</v>
      </c>
      <c r="C77" s="411" t="e">
        <f>VLOOKUP(D77,'ПРАЙС ЮСТ'!B:C,15,0)</f>
        <v>#N/A</v>
      </c>
      <c r="D77" s="44" t="s">
        <v>442</v>
      </c>
      <c r="E77" s="43" t="s">
        <v>75</v>
      </c>
      <c r="F77" s="43">
        <v>3</v>
      </c>
      <c r="G77" s="407" t="e">
        <f>VLOOKUP(C77,'ПРАЙС ЮСТ'!B:B,4,0)</f>
        <v>#N/A</v>
      </c>
      <c r="H77" s="407"/>
      <c r="I77" s="407" t="e">
        <f t="shared" si="15"/>
        <v>#N/A</v>
      </c>
      <c r="J77" s="407" t="e">
        <f t="shared" si="16"/>
        <v>#N/A</v>
      </c>
      <c r="K77" s="407" t="e">
        <f>VLOOKUP(C77,'ПРАЙС ЮСТ'!B:C,14,0)</f>
        <v>#N/A</v>
      </c>
      <c r="L77" s="407" t="e">
        <f t="shared" si="17"/>
        <v>#N/A</v>
      </c>
      <c r="M77" s="419"/>
      <c r="N77" s="419" t="e">
        <f t="shared" si="18"/>
        <v>#N/A</v>
      </c>
      <c r="O77" s="419" t="e">
        <f t="shared" si="19"/>
        <v>#N/A</v>
      </c>
    </row>
    <row r="78" spans="1:16" x14ac:dyDescent="0.25">
      <c r="B78" s="43">
        <v>8</v>
      </c>
      <c r="C78" s="411" t="e">
        <f>VLOOKUP(D78,'ПРАЙС ЮСТ'!B:C,15,0)</f>
        <v>#N/A</v>
      </c>
      <c r="D78" s="44" t="s">
        <v>353</v>
      </c>
      <c r="E78" s="43" t="s">
        <v>78</v>
      </c>
      <c r="F78" s="43">
        <v>1</v>
      </c>
      <c r="G78" s="407" t="e">
        <f>VLOOKUP(C78,'ПРАЙС ЮСТ'!B:B,4,0)</f>
        <v>#N/A</v>
      </c>
      <c r="H78" s="407"/>
      <c r="I78" s="407" t="e">
        <f t="shared" si="15"/>
        <v>#N/A</v>
      </c>
      <c r="J78" s="407" t="e">
        <f t="shared" si="16"/>
        <v>#N/A</v>
      </c>
      <c r="K78" s="407" t="e">
        <f>VLOOKUP(C78,'ПРАЙС ЮСТ'!B:C,14,0)</f>
        <v>#N/A</v>
      </c>
      <c r="L78" s="407" t="e">
        <f t="shared" si="17"/>
        <v>#N/A</v>
      </c>
      <c r="M78" s="419"/>
      <c r="N78" s="419" t="e">
        <f t="shared" si="18"/>
        <v>#N/A</v>
      </c>
      <c r="O78" s="419" t="e">
        <f t="shared" si="19"/>
        <v>#N/A</v>
      </c>
    </row>
    <row r="79" spans="1:16" x14ac:dyDescent="0.25">
      <c r="B79" s="43">
        <v>9</v>
      </c>
      <c r="C79" s="411" t="e">
        <f>VLOOKUP(D79,'ПРАЙС ЮСТ'!B:C,15,0)</f>
        <v>#N/A</v>
      </c>
      <c r="D79" s="44" t="s">
        <v>461</v>
      </c>
      <c r="E79" s="85"/>
      <c r="F79" s="51">
        <v>48</v>
      </c>
      <c r="G79" s="407" t="e">
        <f>VLOOKUP(C79,'ПРАЙС ЮСТ'!B:B,4,0)</f>
        <v>#N/A</v>
      </c>
      <c r="H79" s="407"/>
      <c r="I79" s="407"/>
      <c r="J79" s="407" t="e">
        <f t="shared" si="16"/>
        <v>#N/A</v>
      </c>
      <c r="K79" s="407" t="e">
        <f>VLOOKUP(C79,'ПРАЙС ЮСТ'!B:C,14,0)</f>
        <v>#N/A</v>
      </c>
      <c r="L79" s="407" t="e">
        <f t="shared" si="17"/>
        <v>#N/A</v>
      </c>
      <c r="M79" s="419"/>
      <c r="N79" s="419"/>
      <c r="O79" s="419" t="e">
        <f>L79*(1-$O$4)</f>
        <v>#N/A</v>
      </c>
    </row>
    <row r="80" spans="1:16" x14ac:dyDescent="0.25">
      <c r="B80" s="43"/>
      <c r="C80" s="412"/>
      <c r="D80" s="44" t="s">
        <v>474</v>
      </c>
      <c r="E80" s="400"/>
      <c r="F80" s="401">
        <v>1</v>
      </c>
      <c r="G80" s="408">
        <f>3222/1.2</f>
        <v>2685</v>
      </c>
      <c r="H80" s="407">
        <f>$G80*F80</f>
        <v>2685</v>
      </c>
      <c r="I80" s="407">
        <f>G80*F80</f>
        <v>2685</v>
      </c>
      <c r="J80" s="407">
        <f>F80*G80</f>
        <v>2685</v>
      </c>
      <c r="K80" s="409"/>
      <c r="L80" s="407">
        <f>G80*F80</f>
        <v>2685</v>
      </c>
      <c r="M80" s="420"/>
      <c r="N80" s="420"/>
      <c r="O80" s="420">
        <f>L80</f>
        <v>2685</v>
      </c>
    </row>
    <row r="81" spans="1:15" x14ac:dyDescent="0.25">
      <c r="B81" s="43"/>
      <c r="C81" s="412"/>
      <c r="D81" s="44" t="s">
        <v>476</v>
      </c>
      <c r="E81" s="400"/>
      <c r="F81" s="401"/>
      <c r="G81" s="408"/>
      <c r="H81" s="402"/>
      <c r="I81" s="407"/>
      <c r="J81" s="402"/>
      <c r="K81" s="402"/>
      <c r="L81" s="402">
        <f>J81</f>
        <v>0</v>
      </c>
      <c r="M81" s="421"/>
      <c r="N81" s="421"/>
      <c r="O81" s="421">
        <f>L81*(1-$O$5)</f>
        <v>0</v>
      </c>
    </row>
    <row r="82" spans="1:15" x14ac:dyDescent="0.25">
      <c r="B82" s="24"/>
      <c r="C82" s="24"/>
      <c r="D82" s="340" t="s">
        <v>460</v>
      </c>
      <c r="E82" s="43"/>
      <c r="F82" s="27"/>
      <c r="G82" s="65"/>
      <c r="H82" s="396" t="e">
        <f>SUM(H71:H81)</f>
        <v>#N/A</v>
      </c>
      <c r="I82" s="396" t="e">
        <f>SUM(I71:I81)</f>
        <v>#N/A</v>
      </c>
      <c r="J82" s="396" t="e">
        <f>SUM(J71:J81)</f>
        <v>#N/A</v>
      </c>
      <c r="K82" s="396"/>
      <c r="L82" s="396"/>
      <c r="M82" s="415" t="e">
        <f>SUM(M71:M80)</f>
        <v>#N/A</v>
      </c>
      <c r="N82" s="415" t="e">
        <f>SUM(N71:N80)</f>
        <v>#N/A</v>
      </c>
      <c r="O82" s="415" t="e">
        <f>SUM(O71:O81)</f>
        <v>#N/A</v>
      </c>
    </row>
    <row r="83" spans="1:15" x14ac:dyDescent="0.25">
      <c r="A83" s="24"/>
      <c r="B83" s="24"/>
      <c r="C83" s="24"/>
      <c r="F83" s="24"/>
      <c r="K83" s="24"/>
      <c r="L83" s="24"/>
      <c r="M83" s="24"/>
      <c r="N83" s="24"/>
      <c r="O83" s="24"/>
    </row>
    <row r="84" spans="1:15" x14ac:dyDescent="0.25">
      <c r="A84" s="24"/>
      <c r="B84" s="24"/>
      <c r="C84" s="24"/>
      <c r="F84" s="24"/>
      <c r="K84" t="s">
        <v>478</v>
      </c>
      <c r="M84" s="415" t="e">
        <f>ROUND(M82*1.2,-2)-10</f>
        <v>#N/A</v>
      </c>
      <c r="N84" s="415" t="e">
        <f>ROUND(N82*1.2,-2)-10</f>
        <v>#N/A</v>
      </c>
      <c r="O84" s="415" t="e">
        <f>ROUND(O82*1.2,-2)-10</f>
        <v>#N/A</v>
      </c>
    </row>
    <row r="85" spans="1:15" x14ac:dyDescent="0.25">
      <c r="A85" s="24"/>
      <c r="B85" s="24"/>
      <c r="C85" s="24"/>
      <c r="F85" s="24"/>
      <c r="K85" t="s">
        <v>499</v>
      </c>
      <c r="M85" s="416"/>
      <c r="N85" s="416">
        <v>872000</v>
      </c>
      <c r="O85" s="416"/>
    </row>
    <row r="86" spans="1:15" x14ac:dyDescent="0.25">
      <c r="A86" s="24"/>
      <c r="B86" s="24"/>
      <c r="C86" s="24"/>
      <c r="F86" s="24"/>
      <c r="K86" s="24" t="s">
        <v>475</v>
      </c>
      <c r="M86" s="413" t="e">
        <f>(M82-H82)/M82</f>
        <v>#N/A</v>
      </c>
      <c r="N86" s="413" t="e">
        <f>(N82-I82)/N82</f>
        <v>#N/A</v>
      </c>
      <c r="O86" s="413" t="e">
        <f>(O82-J82)/O82</f>
        <v>#N/A</v>
      </c>
    </row>
    <row r="91" spans="1:15" ht="15.75" thickBot="1" x14ac:dyDescent="0.3">
      <c r="B91" s="24"/>
      <c r="C91" s="24"/>
      <c r="D91" s="31" t="s">
        <v>243</v>
      </c>
      <c r="E91" s="31">
        <f>F93*0.28</f>
        <v>1.1200000000000001</v>
      </c>
      <c r="F91" s="31" t="s">
        <v>64</v>
      </c>
      <c r="G91" s="25"/>
      <c r="H91" s="32"/>
      <c r="I91" s="32"/>
      <c r="J91" s="25"/>
      <c r="K91" s="25"/>
      <c r="L91" s="399"/>
      <c r="M91" s="399"/>
    </row>
    <row r="92" spans="1:15" ht="60.75" thickBot="1" x14ac:dyDescent="0.3">
      <c r="B92" s="34" t="s">
        <v>33</v>
      </c>
      <c r="C92" s="410"/>
      <c r="D92" s="35" t="s">
        <v>0</v>
      </c>
      <c r="E92" s="36" t="s">
        <v>68</v>
      </c>
      <c r="F92" s="37" t="s">
        <v>69</v>
      </c>
      <c r="G92" s="38" t="s">
        <v>70</v>
      </c>
      <c r="H92" s="38" t="s">
        <v>467</v>
      </c>
      <c r="I92" s="38" t="s">
        <v>469</v>
      </c>
      <c r="J92" s="38" t="s">
        <v>459</v>
      </c>
      <c r="K92" s="38" t="s">
        <v>470</v>
      </c>
      <c r="L92" s="38" t="s">
        <v>471</v>
      </c>
      <c r="M92" s="40" t="s">
        <v>473</v>
      </c>
    </row>
    <row r="93" spans="1:15" x14ac:dyDescent="0.25">
      <c r="B93" s="45">
        <v>1</v>
      </c>
      <c r="C93" s="411" t="e">
        <f>VLOOKUP(D93,'ПРАЙС ЮСТ'!B:C,15,0)</f>
        <v>#N/A</v>
      </c>
      <c r="D93" s="44" t="s">
        <v>498</v>
      </c>
      <c r="E93" s="45" t="s">
        <v>75</v>
      </c>
      <c r="F93" s="46">
        <v>4</v>
      </c>
      <c r="G93" s="407" t="e">
        <f>(K93*(1-N2))*0.87</f>
        <v>#N/A</v>
      </c>
      <c r="H93" s="407" t="e">
        <f>G93*F93</f>
        <v>#N/A</v>
      </c>
      <c r="I93" s="407" t="e">
        <f>F93*G93</f>
        <v>#N/A</v>
      </c>
      <c r="J93" s="407" t="e">
        <f>VLOOKUP(C93,'ПРАЙС ЮСТ'!B:B,14,0)</f>
        <v>#N/A</v>
      </c>
      <c r="K93" s="407" t="e">
        <f>VLOOKUP(C93,'ПРАЙС ЮСТ'!B:C,14,0)</f>
        <v>#N/A</v>
      </c>
      <c r="L93" s="407" t="e">
        <f>K93*F93</f>
        <v>#N/A</v>
      </c>
      <c r="M93" s="407" t="e">
        <f>L93*(1-$M$2)</f>
        <v>#N/A</v>
      </c>
    </row>
    <row r="94" spans="1:15" x14ac:dyDescent="0.25">
      <c r="B94" s="43">
        <v>2</v>
      </c>
      <c r="C94" s="411" t="e">
        <f>VLOOKUP(D94,'ПРАЙС ЮСТ'!B:C,15,0)</f>
        <v>#N/A</v>
      </c>
      <c r="D94" s="44" t="s">
        <v>362</v>
      </c>
      <c r="E94" s="45" t="s">
        <v>75</v>
      </c>
      <c r="F94" s="46">
        <v>1</v>
      </c>
      <c r="G94" s="407" t="e">
        <f>VLOOKUP(C94,'ПРАЙС ЮСТ'!B:B,4,0)</f>
        <v>#N/A</v>
      </c>
      <c r="H94" s="407" t="e">
        <f>G94*F94</f>
        <v>#N/A</v>
      </c>
      <c r="I94" s="407" t="e">
        <f t="shared" ref="I94:I102" si="20">F94*G94</f>
        <v>#N/A</v>
      </c>
      <c r="J94" s="407" t="e">
        <f>VLOOKUP(C94,'ПРАЙС ЮСТ'!B:B,14,0)</f>
        <v>#N/A</v>
      </c>
      <c r="K94" s="407" t="e">
        <f t="shared" ref="K94:K101" si="21">J94*F94</f>
        <v>#N/A</v>
      </c>
      <c r="L94" s="407" t="e">
        <f>K94*(1-$L$3)</f>
        <v>#N/A</v>
      </c>
      <c r="M94" s="407" t="e">
        <f t="shared" ref="M94:M100" si="22">K94*(1-$M$3)</f>
        <v>#N/A</v>
      </c>
    </row>
    <row r="95" spans="1:15" x14ac:dyDescent="0.25">
      <c r="B95" s="43">
        <v>3</v>
      </c>
      <c r="C95" s="411" t="e">
        <f>VLOOKUP(D95,'ПРАЙС ЮСТ'!B:C,15,0)</f>
        <v>#N/A</v>
      </c>
      <c r="D95" s="44" t="s">
        <v>330</v>
      </c>
      <c r="E95" s="45" t="s">
        <v>75</v>
      </c>
      <c r="F95" s="46">
        <v>1</v>
      </c>
      <c r="G95" s="407" t="e">
        <f>VLOOKUP(C95,'ПРАЙС ЮСТ'!B:B,4,0)</f>
        <v>#N/A</v>
      </c>
      <c r="H95" s="407"/>
      <c r="I95" s="407" t="e">
        <f t="shared" si="20"/>
        <v>#N/A</v>
      </c>
      <c r="J95" s="407" t="e">
        <f>VLOOKUP(C95,'ПРАЙС ЮСТ'!B:B,14,0)</f>
        <v>#N/A</v>
      </c>
      <c r="K95" s="407" t="e">
        <f t="shared" si="21"/>
        <v>#N/A</v>
      </c>
      <c r="L95" s="407"/>
      <c r="M95" s="407" t="e">
        <f t="shared" si="22"/>
        <v>#N/A</v>
      </c>
    </row>
    <row r="96" spans="1:15" x14ac:dyDescent="0.25">
      <c r="B96" s="43">
        <v>4</v>
      </c>
      <c r="C96" s="411" t="e">
        <f>VLOOKUP(D96,'ПРАЙС ЮСТ'!B:C,15,0)</f>
        <v>#N/A</v>
      </c>
      <c r="D96" s="44" t="s">
        <v>335</v>
      </c>
      <c r="E96" s="45" t="s">
        <v>78</v>
      </c>
      <c r="F96" s="46">
        <v>10</v>
      </c>
      <c r="G96" s="407" t="e">
        <f>VLOOKUP(C96,'ПРАЙС ЮСТ'!B:B,4,0)</f>
        <v>#N/A</v>
      </c>
      <c r="H96" s="407"/>
      <c r="I96" s="407" t="e">
        <f t="shared" si="20"/>
        <v>#N/A</v>
      </c>
      <c r="J96" s="407" t="e">
        <f>VLOOKUP(C96,'ПРАЙС ЮСТ'!B:B,14,0)</f>
        <v>#N/A</v>
      </c>
      <c r="K96" s="407" t="e">
        <f t="shared" si="21"/>
        <v>#N/A</v>
      </c>
      <c r="L96" s="407"/>
      <c r="M96" s="407" t="e">
        <f t="shared" si="22"/>
        <v>#N/A</v>
      </c>
    </row>
    <row r="97" spans="1:13" x14ac:dyDescent="0.25">
      <c r="B97" s="43">
        <v>5</v>
      </c>
      <c r="C97" s="411" t="e">
        <f>VLOOKUP(D97,'ПРАЙС ЮСТ'!B:C,15,0)</f>
        <v>#N/A</v>
      </c>
      <c r="D97" s="44" t="s">
        <v>336</v>
      </c>
      <c r="E97" s="45" t="s">
        <v>78</v>
      </c>
      <c r="F97" s="46">
        <v>10</v>
      </c>
      <c r="G97" s="407" t="e">
        <f>VLOOKUP(C97,'ПРАЙС ЮСТ'!B:B,4,0)</f>
        <v>#N/A</v>
      </c>
      <c r="H97" s="407"/>
      <c r="I97" s="407" t="e">
        <f t="shared" si="20"/>
        <v>#N/A</v>
      </c>
      <c r="J97" s="407" t="e">
        <f>VLOOKUP(C97,'ПРАЙС ЮСТ'!B:B,14,0)</f>
        <v>#N/A</v>
      </c>
      <c r="K97" s="407" t="e">
        <f t="shared" si="21"/>
        <v>#N/A</v>
      </c>
      <c r="L97" s="407"/>
      <c r="M97" s="407" t="e">
        <f t="shared" si="22"/>
        <v>#N/A</v>
      </c>
    </row>
    <row r="98" spans="1:13" x14ac:dyDescent="0.25">
      <c r="B98" s="43">
        <v>6</v>
      </c>
      <c r="C98" s="411" t="e">
        <f>VLOOKUP(D98,'ПРАЙС ЮСТ'!B:C,15,0)</f>
        <v>#N/A</v>
      </c>
      <c r="D98" s="44" t="s">
        <v>443</v>
      </c>
      <c r="E98" s="45" t="s">
        <v>75</v>
      </c>
      <c r="F98" s="46">
        <v>1</v>
      </c>
      <c r="G98" s="407" t="e">
        <f>VLOOKUP(C98,'ПРАЙС ЮСТ'!B:B,4,0)</f>
        <v>#N/A</v>
      </c>
      <c r="H98" s="407"/>
      <c r="I98" s="407" t="e">
        <f t="shared" si="20"/>
        <v>#N/A</v>
      </c>
      <c r="J98" s="407" t="e">
        <f>VLOOKUP(C98,'ПРАЙС ЮСТ'!B:B,14,0)</f>
        <v>#N/A</v>
      </c>
      <c r="K98" s="407" t="e">
        <f t="shared" si="21"/>
        <v>#N/A</v>
      </c>
      <c r="L98" s="407"/>
      <c r="M98" s="407" t="e">
        <f t="shared" si="22"/>
        <v>#N/A</v>
      </c>
    </row>
    <row r="99" spans="1:13" x14ac:dyDescent="0.25">
      <c r="B99" s="43">
        <v>7</v>
      </c>
      <c r="C99" s="411" t="e">
        <f>VLOOKUP(D99,'ПРАЙС ЮСТ'!B:C,15,0)</f>
        <v>#N/A</v>
      </c>
      <c r="D99" s="44" t="s">
        <v>442</v>
      </c>
      <c r="E99" s="45" t="s">
        <v>75</v>
      </c>
      <c r="F99" s="46">
        <v>1</v>
      </c>
      <c r="G99" s="407" t="e">
        <f>VLOOKUP(C99,'ПРАЙС ЮСТ'!B:B,4,0)</f>
        <v>#N/A</v>
      </c>
      <c r="H99" s="407"/>
      <c r="I99" s="407" t="e">
        <f t="shared" si="20"/>
        <v>#N/A</v>
      </c>
      <c r="J99" s="407" t="e">
        <f>VLOOKUP(C99,'ПРАЙС ЮСТ'!B:B,14,0)</f>
        <v>#N/A</v>
      </c>
      <c r="K99" s="407" t="e">
        <f t="shared" si="21"/>
        <v>#N/A</v>
      </c>
      <c r="L99" s="407"/>
      <c r="M99" s="407" t="e">
        <f t="shared" si="22"/>
        <v>#N/A</v>
      </c>
    </row>
    <row r="100" spans="1:13" x14ac:dyDescent="0.25">
      <c r="B100" s="43">
        <v>8</v>
      </c>
      <c r="C100" s="411" t="e">
        <f>VLOOKUP(D100,'ПРАЙС ЮСТ'!B:C,15,0)</f>
        <v>#N/A</v>
      </c>
      <c r="D100" s="44" t="s">
        <v>350</v>
      </c>
      <c r="E100" s="45" t="s">
        <v>78</v>
      </c>
      <c r="F100" s="46">
        <v>1</v>
      </c>
      <c r="G100" s="407" t="e">
        <f>VLOOKUP(C100,'ПРАЙС ЮСТ'!B:B,4,0)</f>
        <v>#N/A</v>
      </c>
      <c r="H100" s="407"/>
      <c r="I100" s="407" t="e">
        <f t="shared" si="20"/>
        <v>#N/A</v>
      </c>
      <c r="J100" s="407" t="e">
        <f>VLOOKUP(C100,'ПРАЙС ЮСТ'!B:B,14,0)</f>
        <v>#N/A</v>
      </c>
      <c r="K100" s="407" t="e">
        <f t="shared" si="21"/>
        <v>#N/A</v>
      </c>
      <c r="L100" s="407"/>
      <c r="M100" s="407" t="e">
        <f t="shared" si="22"/>
        <v>#N/A</v>
      </c>
    </row>
    <row r="101" spans="1:13" x14ac:dyDescent="0.25">
      <c r="B101" s="43">
        <v>10</v>
      </c>
      <c r="C101" s="411" t="e">
        <f>VLOOKUP(D101,'ПРАЙС ЮСТ'!B:C,15,0)</f>
        <v>#N/A</v>
      </c>
      <c r="D101" s="44" t="s">
        <v>461</v>
      </c>
      <c r="E101" s="85"/>
      <c r="F101" s="51"/>
      <c r="G101" s="407" t="e">
        <f>VLOOKUP(C101,'ПРАЙС ЮСТ'!B:B,4,0)</f>
        <v>#N/A</v>
      </c>
      <c r="H101" s="407"/>
      <c r="I101" s="407" t="e">
        <f t="shared" si="20"/>
        <v>#N/A</v>
      </c>
      <c r="J101" s="407" t="e">
        <f>VLOOKUP(C101,'ПРАЙС ЮСТ'!B:B,14,0)</f>
        <v>#N/A</v>
      </c>
      <c r="K101" s="407" t="e">
        <f t="shared" si="21"/>
        <v>#N/A</v>
      </c>
      <c r="L101" s="407"/>
      <c r="M101" s="407" t="e">
        <f>K101*(1-$M$4)</f>
        <v>#N/A</v>
      </c>
    </row>
    <row r="102" spans="1:13" x14ac:dyDescent="0.25">
      <c r="B102" s="43">
        <v>10</v>
      </c>
      <c r="C102" s="412"/>
      <c r="D102" s="44" t="s">
        <v>474</v>
      </c>
      <c r="E102" s="400"/>
      <c r="F102" s="401">
        <v>1</v>
      </c>
      <c r="G102" s="407">
        <f>1646/1.2</f>
        <v>1371.6666666666667</v>
      </c>
      <c r="H102" s="407">
        <f>G102</f>
        <v>1371.6666666666667</v>
      </c>
      <c r="I102" s="407">
        <f t="shared" si="20"/>
        <v>1371.6666666666667</v>
      </c>
      <c r="J102" s="407"/>
      <c r="K102" s="407"/>
      <c r="L102" s="409"/>
      <c r="M102" s="409"/>
    </row>
    <row r="103" spans="1:13" x14ac:dyDescent="0.25">
      <c r="B103" s="43">
        <v>10</v>
      </c>
      <c r="C103" s="412"/>
      <c r="D103" s="44" t="s">
        <v>476</v>
      </c>
      <c r="E103" s="400"/>
      <c r="F103" s="401"/>
      <c r="G103" s="407"/>
      <c r="H103" s="402"/>
      <c r="I103" s="402"/>
      <c r="J103" s="402"/>
      <c r="K103" s="402"/>
      <c r="L103" s="402"/>
      <c r="M103" s="402"/>
    </row>
    <row r="104" spans="1:13" x14ac:dyDescent="0.25">
      <c r="A104" s="24"/>
      <c r="B104" s="24"/>
      <c r="C104" s="24"/>
      <c r="D104" s="339" t="s">
        <v>458</v>
      </c>
      <c r="E104" s="435"/>
      <c r="F104" s="436"/>
      <c r="G104" s="65"/>
      <c r="H104" s="396" t="e">
        <f>SUM(H93:H103)</f>
        <v>#N/A</v>
      </c>
      <c r="I104" s="396" t="e">
        <f>SUM(I93:I103)</f>
        <v>#N/A</v>
      </c>
      <c r="J104" s="396"/>
      <c r="K104" s="396"/>
      <c r="L104" s="396" t="e">
        <f>SUM(L93:L102)</f>
        <v>#N/A</v>
      </c>
      <c r="M104" s="396" t="e">
        <f>SUM(M93:M103)</f>
        <v>#N/A</v>
      </c>
    </row>
    <row r="105" spans="1:13" x14ac:dyDescent="0.25">
      <c r="J105" s="24"/>
      <c r="K105" s="24"/>
      <c r="L105" s="24"/>
      <c r="M105" s="24"/>
    </row>
    <row r="106" spans="1:13" x14ac:dyDescent="0.25">
      <c r="J106" t="s">
        <v>478</v>
      </c>
      <c r="L106" s="415" t="e">
        <f>ROUND(L104*1.2,-2)-10</f>
        <v>#N/A</v>
      </c>
      <c r="M106" s="415" t="e">
        <f>ROUND(M104*1.2,-2)-10</f>
        <v>#N/A</v>
      </c>
    </row>
    <row r="107" spans="1:13" x14ac:dyDescent="0.25">
      <c r="J107" t="s">
        <v>499</v>
      </c>
      <c r="L107" s="416"/>
      <c r="M107" s="416">
        <v>97000</v>
      </c>
    </row>
    <row r="108" spans="1:13" x14ac:dyDescent="0.25">
      <c r="J108" s="24" t="s">
        <v>475</v>
      </c>
      <c r="L108" s="413" t="e">
        <f>(L104-H104)/L104</f>
        <v>#N/A</v>
      </c>
      <c r="M108" s="413" t="e">
        <f>(M104-I104)/M104</f>
        <v>#N/A</v>
      </c>
    </row>
  </sheetData>
  <mergeCells count="4">
    <mergeCell ref="K2:L2"/>
    <mergeCell ref="K3:L3"/>
    <mergeCell ref="K4:L4"/>
    <mergeCell ref="K5:L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23">
    <pageSetUpPr fitToPage="1"/>
  </sheetPr>
  <dimension ref="A1:G103"/>
  <sheetViews>
    <sheetView topLeftCell="A22" zoomScale="85" zoomScaleNormal="85" workbookViewId="0">
      <selection activeCell="H62" sqref="H62"/>
    </sheetView>
  </sheetViews>
  <sheetFormatPr defaultRowHeight="15" x14ac:dyDescent="0.25"/>
  <cols>
    <col min="1" max="1" width="24.42578125" customWidth="1"/>
    <col min="4" max="4" width="8.85546875" customWidth="1"/>
    <col min="7" max="8" width="11.28515625" bestFit="1" customWidth="1"/>
  </cols>
  <sheetData>
    <row r="1" spans="1:7" x14ac:dyDescent="0.25">
      <c r="A1" s="423" t="s">
        <v>480</v>
      </c>
      <c r="B1" s="522"/>
      <c r="C1" s="522"/>
      <c r="D1" s="522"/>
      <c r="E1" s="424" t="s">
        <v>481</v>
      </c>
      <c r="F1" s="425" t="s">
        <v>482</v>
      </c>
      <c r="G1" s="425" t="s">
        <v>483</v>
      </c>
    </row>
    <row r="2" spans="1:7" x14ac:dyDescent="0.25">
      <c r="B2" s="523" t="s">
        <v>484</v>
      </c>
      <c r="C2" s="523"/>
      <c r="D2" s="523"/>
      <c r="E2">
        <v>1</v>
      </c>
      <c r="F2">
        <v>850</v>
      </c>
      <c r="G2">
        <f>E2*F2</f>
        <v>850</v>
      </c>
    </row>
    <row r="3" spans="1:7" x14ac:dyDescent="0.25">
      <c r="B3" s="519" t="s">
        <v>485</v>
      </c>
      <c r="C3" s="519"/>
      <c r="D3" s="519"/>
      <c r="E3">
        <v>1</v>
      </c>
      <c r="F3">
        <v>30</v>
      </c>
      <c r="G3">
        <f t="shared" ref="G3:G8" si="0">E3*F3</f>
        <v>30</v>
      </c>
    </row>
    <row r="4" spans="1:7" x14ac:dyDescent="0.25">
      <c r="B4" s="519" t="s">
        <v>486</v>
      </c>
      <c r="C4" s="519"/>
      <c r="D4" s="519"/>
      <c r="E4">
        <v>1</v>
      </c>
      <c r="F4">
        <v>215</v>
      </c>
      <c r="G4">
        <f t="shared" si="0"/>
        <v>215</v>
      </c>
    </row>
    <row r="5" spans="1:7" x14ac:dyDescent="0.25">
      <c r="B5" s="519" t="s">
        <v>487</v>
      </c>
      <c r="C5" s="519"/>
      <c r="D5" s="519"/>
      <c r="E5">
        <v>25</v>
      </c>
      <c r="F5">
        <v>1</v>
      </c>
      <c r="G5">
        <f t="shared" si="0"/>
        <v>25</v>
      </c>
    </row>
    <row r="6" spans="1:7" x14ac:dyDescent="0.25">
      <c r="B6" s="519" t="s">
        <v>488</v>
      </c>
      <c r="C6" s="519"/>
      <c r="D6" s="519"/>
      <c r="E6">
        <v>20</v>
      </c>
      <c r="F6">
        <v>1.6</v>
      </c>
      <c r="G6">
        <f t="shared" si="0"/>
        <v>32</v>
      </c>
    </row>
    <row r="7" spans="1:7" x14ac:dyDescent="0.25">
      <c r="B7" s="519" t="s">
        <v>489</v>
      </c>
      <c r="C7" s="519"/>
      <c r="D7" s="519"/>
      <c r="E7">
        <v>1</v>
      </c>
      <c r="F7">
        <v>398</v>
      </c>
      <c r="G7">
        <f t="shared" si="0"/>
        <v>398</v>
      </c>
    </row>
    <row r="8" spans="1:7" x14ac:dyDescent="0.25">
      <c r="B8" s="519" t="s">
        <v>490</v>
      </c>
      <c r="C8" s="519"/>
      <c r="D8" s="519"/>
      <c r="E8">
        <v>0</v>
      </c>
      <c r="F8">
        <v>783.4</v>
      </c>
      <c r="G8">
        <f t="shared" si="0"/>
        <v>0</v>
      </c>
    </row>
    <row r="9" spans="1:7" x14ac:dyDescent="0.25">
      <c r="B9" s="520"/>
      <c r="C9" s="520"/>
      <c r="D9" s="520"/>
      <c r="G9" s="426">
        <f>SUM(G2:G8)</f>
        <v>1550</v>
      </c>
    </row>
    <row r="10" spans="1:7" x14ac:dyDescent="0.25">
      <c r="A10" s="423" t="s">
        <v>297</v>
      </c>
      <c r="B10" s="521"/>
      <c r="C10" s="521"/>
      <c r="D10" s="521"/>
      <c r="E10" s="521"/>
      <c r="F10" s="521"/>
      <c r="G10" s="521"/>
    </row>
    <row r="11" spans="1:7" x14ac:dyDescent="0.25">
      <c r="B11" s="519" t="s">
        <v>484</v>
      </c>
      <c r="C11" s="519"/>
      <c r="D11" s="519"/>
      <c r="E11">
        <v>1</v>
      </c>
      <c r="F11">
        <v>850</v>
      </c>
      <c r="G11">
        <f>E11*F11</f>
        <v>850</v>
      </c>
    </row>
    <row r="12" spans="1:7" x14ac:dyDescent="0.25">
      <c r="B12" s="519" t="s">
        <v>485</v>
      </c>
      <c r="C12" s="519"/>
      <c r="D12" s="519"/>
      <c r="E12">
        <v>1</v>
      </c>
      <c r="F12">
        <v>30</v>
      </c>
      <c r="G12">
        <f t="shared" ref="G12:G17" si="1">E12*F12</f>
        <v>30</v>
      </c>
    </row>
    <row r="13" spans="1:7" x14ac:dyDescent="0.25">
      <c r="B13" s="519" t="s">
        <v>486</v>
      </c>
      <c r="C13" s="519"/>
      <c r="D13" s="519"/>
      <c r="E13">
        <v>1</v>
      </c>
      <c r="F13">
        <v>215</v>
      </c>
      <c r="G13">
        <f t="shared" si="1"/>
        <v>215</v>
      </c>
    </row>
    <row r="14" spans="1:7" x14ac:dyDescent="0.25">
      <c r="B14" s="519" t="s">
        <v>487</v>
      </c>
      <c r="C14" s="519"/>
      <c r="D14" s="519"/>
      <c r="E14">
        <v>25</v>
      </c>
      <c r="F14">
        <v>1</v>
      </c>
      <c r="G14">
        <f t="shared" si="1"/>
        <v>25</v>
      </c>
    </row>
    <row r="15" spans="1:7" x14ac:dyDescent="0.25">
      <c r="B15" s="519" t="s">
        <v>488</v>
      </c>
      <c r="C15" s="519"/>
      <c r="D15" s="519"/>
      <c r="E15">
        <v>30</v>
      </c>
      <c r="F15">
        <v>1.6</v>
      </c>
      <c r="G15">
        <f t="shared" si="1"/>
        <v>48</v>
      </c>
    </row>
    <row r="16" spans="1:7" x14ac:dyDescent="0.25">
      <c r="B16" s="519" t="s">
        <v>489</v>
      </c>
      <c r="C16" s="519"/>
      <c r="D16" s="519"/>
      <c r="E16">
        <v>1</v>
      </c>
      <c r="F16">
        <v>398</v>
      </c>
      <c r="G16">
        <f t="shared" si="1"/>
        <v>398</v>
      </c>
    </row>
    <row r="17" spans="1:7" x14ac:dyDescent="0.25">
      <c r="B17" s="519" t="s">
        <v>490</v>
      </c>
      <c r="C17" s="519"/>
      <c r="D17" s="519"/>
      <c r="E17">
        <v>0</v>
      </c>
      <c r="F17">
        <v>783.4</v>
      </c>
      <c r="G17">
        <f t="shared" si="1"/>
        <v>0</v>
      </c>
    </row>
    <row r="18" spans="1:7" x14ac:dyDescent="0.25">
      <c r="B18" s="519"/>
      <c r="C18" s="519"/>
      <c r="D18" s="519"/>
      <c r="G18" s="426">
        <f>SUM(G11:G17)</f>
        <v>1566</v>
      </c>
    </row>
    <row r="19" spans="1:7" x14ac:dyDescent="0.25">
      <c r="A19" s="423" t="s">
        <v>298</v>
      </c>
      <c r="B19" s="521"/>
      <c r="C19" s="521"/>
      <c r="D19" s="521"/>
      <c r="E19" s="521"/>
      <c r="F19" s="521"/>
      <c r="G19" s="521"/>
    </row>
    <row r="20" spans="1:7" x14ac:dyDescent="0.25">
      <c r="B20" s="519" t="s">
        <v>484</v>
      </c>
      <c r="C20" s="519"/>
      <c r="D20" s="519"/>
      <c r="E20">
        <v>1</v>
      </c>
      <c r="F20">
        <v>850</v>
      </c>
      <c r="G20">
        <f>E20*F20</f>
        <v>850</v>
      </c>
    </row>
    <row r="21" spans="1:7" x14ac:dyDescent="0.25">
      <c r="A21" s="427"/>
      <c r="B21" s="519" t="s">
        <v>485</v>
      </c>
      <c r="C21" s="519"/>
      <c r="D21" s="519"/>
      <c r="E21">
        <v>1</v>
      </c>
      <c r="F21">
        <v>30</v>
      </c>
      <c r="G21">
        <f t="shared" ref="G21:G26" si="2">E21*F21</f>
        <v>30</v>
      </c>
    </row>
    <row r="22" spans="1:7" x14ac:dyDescent="0.25">
      <c r="B22" s="519" t="s">
        <v>486</v>
      </c>
      <c r="C22" s="519"/>
      <c r="D22" s="519"/>
      <c r="E22">
        <v>1</v>
      </c>
      <c r="F22">
        <v>215</v>
      </c>
      <c r="G22">
        <f t="shared" si="2"/>
        <v>215</v>
      </c>
    </row>
    <row r="23" spans="1:7" x14ac:dyDescent="0.25">
      <c r="B23" s="519" t="s">
        <v>487</v>
      </c>
      <c r="C23" s="519"/>
      <c r="D23" s="519"/>
      <c r="E23">
        <v>25</v>
      </c>
      <c r="F23">
        <v>1</v>
      </c>
      <c r="G23">
        <f t="shared" si="2"/>
        <v>25</v>
      </c>
    </row>
    <row r="24" spans="1:7" x14ac:dyDescent="0.25">
      <c r="B24" s="519" t="s">
        <v>488</v>
      </c>
      <c r="C24" s="519"/>
      <c r="D24" s="519"/>
      <c r="E24">
        <v>40</v>
      </c>
      <c r="F24">
        <v>1.6</v>
      </c>
      <c r="G24">
        <f t="shared" si="2"/>
        <v>64</v>
      </c>
    </row>
    <row r="25" spans="1:7" x14ac:dyDescent="0.25">
      <c r="B25" s="519" t="s">
        <v>489</v>
      </c>
      <c r="C25" s="519"/>
      <c r="D25" s="519"/>
      <c r="E25">
        <v>1</v>
      </c>
      <c r="F25">
        <v>398</v>
      </c>
      <c r="G25">
        <f t="shared" si="2"/>
        <v>398</v>
      </c>
    </row>
    <row r="26" spans="1:7" x14ac:dyDescent="0.25">
      <c r="B26" s="519" t="s">
        <v>490</v>
      </c>
      <c r="C26" s="519"/>
      <c r="D26" s="519"/>
      <c r="E26">
        <v>0</v>
      </c>
      <c r="F26">
        <v>783.4</v>
      </c>
      <c r="G26">
        <f t="shared" si="2"/>
        <v>0</v>
      </c>
    </row>
    <row r="27" spans="1:7" x14ac:dyDescent="0.25">
      <c r="B27" s="519"/>
      <c r="C27" s="519"/>
      <c r="D27" s="519"/>
      <c r="G27" s="426">
        <f>SUM(G20:G26)</f>
        <v>1582</v>
      </c>
    </row>
    <row r="28" spans="1:7" x14ac:dyDescent="0.25">
      <c r="A28" s="423" t="s">
        <v>299</v>
      </c>
      <c r="B28" s="521"/>
      <c r="C28" s="521"/>
      <c r="D28" s="521"/>
      <c r="E28" s="521"/>
      <c r="F28" s="521"/>
      <c r="G28" s="521"/>
    </row>
    <row r="29" spans="1:7" x14ac:dyDescent="0.25">
      <c r="B29" s="519" t="s">
        <v>484</v>
      </c>
      <c r="C29" s="519"/>
      <c r="D29" s="519"/>
      <c r="E29">
        <v>1</v>
      </c>
      <c r="F29">
        <v>850</v>
      </c>
      <c r="G29">
        <f>E29*F29</f>
        <v>850</v>
      </c>
    </row>
    <row r="30" spans="1:7" x14ac:dyDescent="0.25">
      <c r="B30" s="519" t="s">
        <v>485</v>
      </c>
      <c r="C30" s="519"/>
      <c r="D30" s="519"/>
      <c r="E30">
        <v>1</v>
      </c>
      <c r="F30">
        <v>30</v>
      </c>
      <c r="G30">
        <f t="shared" ref="G30:G35" si="3">E30*F30</f>
        <v>30</v>
      </c>
    </row>
    <row r="31" spans="1:7" x14ac:dyDescent="0.25">
      <c r="B31" s="519" t="s">
        <v>486</v>
      </c>
      <c r="C31" s="519"/>
      <c r="D31" s="519"/>
      <c r="E31">
        <v>1</v>
      </c>
      <c r="F31">
        <v>215</v>
      </c>
      <c r="G31">
        <f t="shared" si="3"/>
        <v>215</v>
      </c>
    </row>
    <row r="32" spans="1:7" x14ac:dyDescent="0.25">
      <c r="B32" s="519" t="s">
        <v>487</v>
      </c>
      <c r="C32" s="519"/>
      <c r="D32" s="519"/>
      <c r="E32">
        <v>28</v>
      </c>
      <c r="F32">
        <v>1</v>
      </c>
      <c r="G32">
        <f t="shared" si="3"/>
        <v>28</v>
      </c>
    </row>
    <row r="33" spans="1:7" x14ac:dyDescent="0.25">
      <c r="B33" s="519" t="s">
        <v>488</v>
      </c>
      <c r="C33" s="519"/>
      <c r="D33" s="519"/>
      <c r="E33">
        <v>50</v>
      </c>
      <c r="F33">
        <v>1.6</v>
      </c>
      <c r="G33">
        <f t="shared" si="3"/>
        <v>80</v>
      </c>
    </row>
    <row r="34" spans="1:7" x14ac:dyDescent="0.25">
      <c r="B34" s="519" t="s">
        <v>491</v>
      </c>
      <c r="C34" s="519"/>
      <c r="D34" s="519"/>
      <c r="E34">
        <v>1</v>
      </c>
      <c r="F34">
        <v>501</v>
      </c>
      <c r="G34">
        <f t="shared" si="3"/>
        <v>501</v>
      </c>
    </row>
    <row r="35" spans="1:7" x14ac:dyDescent="0.25">
      <c r="B35" s="519" t="s">
        <v>490</v>
      </c>
      <c r="C35" s="519"/>
      <c r="D35" s="519"/>
      <c r="E35">
        <v>0</v>
      </c>
      <c r="F35">
        <v>783.4</v>
      </c>
      <c r="G35">
        <f t="shared" si="3"/>
        <v>0</v>
      </c>
    </row>
    <row r="36" spans="1:7" x14ac:dyDescent="0.25">
      <c r="B36" s="519"/>
      <c r="C36" s="519"/>
      <c r="D36" s="519"/>
      <c r="G36" s="426">
        <f>SUM(G29:G35)</f>
        <v>1704</v>
      </c>
    </row>
    <row r="37" spans="1:7" x14ac:dyDescent="0.25">
      <c r="A37" s="423" t="s">
        <v>300</v>
      </c>
      <c r="B37" s="521"/>
      <c r="C37" s="521"/>
      <c r="D37" s="521"/>
      <c r="E37" s="521"/>
      <c r="F37" s="521"/>
      <c r="G37" s="521"/>
    </row>
    <row r="38" spans="1:7" x14ac:dyDescent="0.25">
      <c r="B38" s="519" t="s">
        <v>484</v>
      </c>
      <c r="C38" s="519"/>
      <c r="D38" s="519"/>
      <c r="E38">
        <v>1</v>
      </c>
      <c r="F38">
        <v>850</v>
      </c>
      <c r="G38">
        <f>E38*F38</f>
        <v>850</v>
      </c>
    </row>
    <row r="39" spans="1:7" x14ac:dyDescent="0.25">
      <c r="B39" s="519" t="s">
        <v>485</v>
      </c>
      <c r="C39" s="519"/>
      <c r="D39" s="519"/>
      <c r="E39">
        <v>1</v>
      </c>
      <c r="F39">
        <v>30</v>
      </c>
      <c r="G39">
        <f t="shared" ref="G39:G44" si="4">E39*F39</f>
        <v>30</v>
      </c>
    </row>
    <row r="40" spans="1:7" x14ac:dyDescent="0.25">
      <c r="B40" s="519" t="s">
        <v>486</v>
      </c>
      <c r="C40" s="519"/>
      <c r="D40" s="519"/>
      <c r="E40">
        <v>1</v>
      </c>
      <c r="F40">
        <v>215</v>
      </c>
      <c r="G40">
        <f t="shared" si="4"/>
        <v>215</v>
      </c>
    </row>
    <row r="41" spans="1:7" x14ac:dyDescent="0.25">
      <c r="B41" s="519" t="s">
        <v>487</v>
      </c>
      <c r="C41" s="519"/>
      <c r="D41" s="519"/>
      <c r="E41">
        <v>28</v>
      </c>
      <c r="F41">
        <v>1</v>
      </c>
      <c r="G41">
        <f t="shared" si="4"/>
        <v>28</v>
      </c>
    </row>
    <row r="42" spans="1:7" x14ac:dyDescent="0.25">
      <c r="B42" s="519" t="s">
        <v>488</v>
      </c>
      <c r="C42" s="519"/>
      <c r="D42" s="519"/>
      <c r="E42">
        <v>60</v>
      </c>
      <c r="F42">
        <v>1.6</v>
      </c>
      <c r="G42">
        <f t="shared" si="4"/>
        <v>96</v>
      </c>
    </row>
    <row r="43" spans="1:7" x14ac:dyDescent="0.25">
      <c r="B43" s="519" t="s">
        <v>491</v>
      </c>
      <c r="C43" s="519"/>
      <c r="D43" s="519"/>
      <c r="E43">
        <v>1</v>
      </c>
      <c r="F43">
        <v>501</v>
      </c>
      <c r="G43">
        <f t="shared" si="4"/>
        <v>501</v>
      </c>
    </row>
    <row r="44" spans="1:7" x14ac:dyDescent="0.25">
      <c r="B44" s="519" t="s">
        <v>490</v>
      </c>
      <c r="C44" s="519"/>
      <c r="D44" s="519"/>
      <c r="E44">
        <v>0</v>
      </c>
      <c r="F44">
        <v>783.4</v>
      </c>
      <c r="G44">
        <f t="shared" si="4"/>
        <v>0</v>
      </c>
    </row>
    <row r="45" spans="1:7" x14ac:dyDescent="0.25">
      <c r="B45" s="519"/>
      <c r="C45" s="519"/>
      <c r="D45" s="519"/>
      <c r="G45" s="426">
        <f>SUM(G38:G44)</f>
        <v>1720</v>
      </c>
    </row>
    <row r="46" spans="1:7" x14ac:dyDescent="0.25">
      <c r="A46" s="423" t="s">
        <v>300</v>
      </c>
      <c r="B46" s="521"/>
      <c r="C46" s="521"/>
      <c r="D46" s="521"/>
      <c r="E46" s="521"/>
      <c r="F46" s="521"/>
      <c r="G46" s="521"/>
    </row>
    <row r="47" spans="1:7" x14ac:dyDescent="0.25">
      <c r="B47" s="519" t="s">
        <v>484</v>
      </c>
      <c r="C47" s="519"/>
      <c r="D47" s="519"/>
      <c r="E47">
        <v>1</v>
      </c>
      <c r="F47">
        <v>850</v>
      </c>
      <c r="G47">
        <f>E47*F47</f>
        <v>850</v>
      </c>
    </row>
    <row r="48" spans="1:7" x14ac:dyDescent="0.25">
      <c r="B48" s="519" t="s">
        <v>485</v>
      </c>
      <c r="C48" s="519"/>
      <c r="D48" s="519"/>
      <c r="E48">
        <v>1</v>
      </c>
      <c r="F48">
        <v>30</v>
      </c>
      <c r="G48">
        <f t="shared" ref="G48:G53" si="5">E48*F48</f>
        <v>30</v>
      </c>
    </row>
    <row r="49" spans="1:7" x14ac:dyDescent="0.25">
      <c r="B49" s="519" t="s">
        <v>486</v>
      </c>
      <c r="C49" s="519"/>
      <c r="D49" s="519"/>
      <c r="E49">
        <v>1</v>
      </c>
      <c r="F49">
        <v>215</v>
      </c>
      <c r="G49">
        <f t="shared" si="5"/>
        <v>215</v>
      </c>
    </row>
    <row r="50" spans="1:7" x14ac:dyDescent="0.25">
      <c r="B50" s="519" t="s">
        <v>487</v>
      </c>
      <c r="C50" s="519"/>
      <c r="D50" s="519"/>
      <c r="E50">
        <v>28</v>
      </c>
      <c r="F50">
        <v>1</v>
      </c>
      <c r="G50">
        <f t="shared" si="5"/>
        <v>28</v>
      </c>
    </row>
    <row r="51" spans="1:7" x14ac:dyDescent="0.25">
      <c r="B51" s="519" t="s">
        <v>488</v>
      </c>
      <c r="C51" s="519"/>
      <c r="D51" s="519"/>
      <c r="E51">
        <v>70</v>
      </c>
      <c r="F51">
        <v>1.6</v>
      </c>
      <c r="G51">
        <f t="shared" si="5"/>
        <v>112</v>
      </c>
    </row>
    <row r="52" spans="1:7" x14ac:dyDescent="0.25">
      <c r="B52" s="519" t="s">
        <v>491</v>
      </c>
      <c r="C52" s="519"/>
      <c r="D52" s="519"/>
      <c r="E52">
        <v>1</v>
      </c>
      <c r="F52">
        <v>501</v>
      </c>
      <c r="G52">
        <f t="shared" si="5"/>
        <v>501</v>
      </c>
    </row>
    <row r="53" spans="1:7" x14ac:dyDescent="0.25">
      <c r="B53" s="519" t="s">
        <v>490</v>
      </c>
      <c r="C53" s="519"/>
      <c r="D53" s="519"/>
      <c r="E53">
        <v>0</v>
      </c>
      <c r="F53">
        <v>783.4</v>
      </c>
      <c r="G53">
        <f t="shared" si="5"/>
        <v>0</v>
      </c>
    </row>
    <row r="54" spans="1:7" x14ac:dyDescent="0.25">
      <c r="B54" s="519"/>
      <c r="C54" s="519"/>
      <c r="D54" s="519"/>
      <c r="G54" s="426">
        <f>SUM(G47:G53)</f>
        <v>1736</v>
      </c>
    </row>
    <row r="55" spans="1:7" x14ac:dyDescent="0.25">
      <c r="A55" s="428" t="s">
        <v>302</v>
      </c>
      <c r="B55" s="521"/>
      <c r="C55" s="521"/>
      <c r="D55" s="521"/>
      <c r="E55" s="429" t="s">
        <v>481</v>
      </c>
      <c r="F55" s="430" t="s">
        <v>482</v>
      </c>
      <c r="G55" s="430" t="s">
        <v>492</v>
      </c>
    </row>
    <row r="56" spans="1:7" x14ac:dyDescent="0.25">
      <c r="B56" s="519" t="s">
        <v>484</v>
      </c>
      <c r="C56" s="519"/>
      <c r="D56" s="519"/>
      <c r="E56">
        <v>1</v>
      </c>
      <c r="F56">
        <v>850</v>
      </c>
      <c r="G56">
        <f>E56*F56</f>
        <v>850</v>
      </c>
    </row>
    <row r="57" spans="1:7" x14ac:dyDescent="0.25">
      <c r="B57" s="519" t="s">
        <v>485</v>
      </c>
      <c r="C57" s="519"/>
      <c r="D57" s="519"/>
      <c r="E57">
        <v>1</v>
      </c>
      <c r="F57">
        <v>30</v>
      </c>
      <c r="G57">
        <f t="shared" ref="G57:G62" si="6">E57*F57</f>
        <v>30</v>
      </c>
    </row>
    <row r="58" spans="1:7" x14ac:dyDescent="0.25">
      <c r="B58" s="519" t="s">
        <v>486</v>
      </c>
      <c r="C58" s="519"/>
      <c r="D58" s="519"/>
      <c r="E58">
        <v>1</v>
      </c>
      <c r="F58">
        <v>215</v>
      </c>
      <c r="G58">
        <f t="shared" si="6"/>
        <v>215</v>
      </c>
    </row>
    <row r="59" spans="1:7" x14ac:dyDescent="0.25">
      <c r="B59" s="519" t="s">
        <v>487</v>
      </c>
      <c r="C59" s="519"/>
      <c r="D59" s="519"/>
      <c r="E59">
        <v>25</v>
      </c>
      <c r="F59">
        <v>1</v>
      </c>
      <c r="G59">
        <f t="shared" si="6"/>
        <v>25</v>
      </c>
    </row>
    <row r="60" spans="1:7" x14ac:dyDescent="0.25">
      <c r="B60" s="519" t="s">
        <v>488</v>
      </c>
      <c r="C60" s="519"/>
      <c r="D60" s="519"/>
      <c r="E60">
        <v>80</v>
      </c>
      <c r="F60">
        <v>1.6</v>
      </c>
      <c r="G60">
        <f t="shared" si="6"/>
        <v>128</v>
      </c>
    </row>
    <row r="61" spans="1:7" x14ac:dyDescent="0.25">
      <c r="B61" s="519" t="s">
        <v>489</v>
      </c>
      <c r="C61" s="519"/>
      <c r="D61" s="519"/>
      <c r="E61">
        <v>1</v>
      </c>
      <c r="F61">
        <v>398</v>
      </c>
      <c r="G61">
        <f t="shared" si="6"/>
        <v>398</v>
      </c>
    </row>
    <row r="62" spans="1:7" x14ac:dyDescent="0.25">
      <c r="B62" s="519" t="s">
        <v>490</v>
      </c>
      <c r="C62" s="519"/>
      <c r="D62" s="519"/>
      <c r="E62">
        <v>0</v>
      </c>
      <c r="F62">
        <v>783.4</v>
      </c>
      <c r="G62">
        <f t="shared" si="6"/>
        <v>0</v>
      </c>
    </row>
    <row r="63" spans="1:7" x14ac:dyDescent="0.25">
      <c r="B63" s="519"/>
      <c r="C63" s="519"/>
      <c r="D63" s="519"/>
      <c r="G63" s="426">
        <f>SUM(G56:G62)</f>
        <v>1646</v>
      </c>
    </row>
    <row r="64" spans="1:7" x14ac:dyDescent="0.25">
      <c r="A64" s="428" t="s">
        <v>303</v>
      </c>
      <c r="B64" s="521"/>
      <c r="C64" s="521"/>
      <c r="D64" s="521"/>
      <c r="E64" s="430"/>
      <c r="F64" s="430"/>
      <c r="G64" s="430"/>
    </row>
    <row r="65" spans="1:7" x14ac:dyDescent="0.25">
      <c r="B65" s="519" t="s">
        <v>484</v>
      </c>
      <c r="C65" s="519"/>
      <c r="D65" s="519"/>
      <c r="E65">
        <v>1</v>
      </c>
      <c r="F65">
        <v>850</v>
      </c>
      <c r="G65">
        <f>E65*F65</f>
        <v>850</v>
      </c>
    </row>
    <row r="66" spans="1:7" x14ac:dyDescent="0.25">
      <c r="B66" s="519" t="s">
        <v>485</v>
      </c>
      <c r="C66" s="519"/>
      <c r="D66" s="519"/>
      <c r="E66">
        <v>1</v>
      </c>
      <c r="F66">
        <v>30</v>
      </c>
      <c r="G66">
        <f t="shared" ref="G66:G71" si="7">E66*F66</f>
        <v>30</v>
      </c>
    </row>
    <row r="67" spans="1:7" x14ac:dyDescent="0.25">
      <c r="B67" s="519" t="s">
        <v>486</v>
      </c>
      <c r="C67" s="519"/>
      <c r="D67" s="519"/>
      <c r="E67">
        <v>1</v>
      </c>
      <c r="F67">
        <v>215</v>
      </c>
      <c r="G67">
        <f t="shared" si="7"/>
        <v>215</v>
      </c>
    </row>
    <row r="68" spans="1:7" x14ac:dyDescent="0.25">
      <c r="B68" s="519" t="s">
        <v>487</v>
      </c>
      <c r="C68" s="519"/>
      <c r="D68" s="519"/>
      <c r="E68">
        <v>28</v>
      </c>
      <c r="F68">
        <v>1</v>
      </c>
      <c r="G68">
        <f t="shared" si="7"/>
        <v>28</v>
      </c>
    </row>
    <row r="69" spans="1:7" x14ac:dyDescent="0.25">
      <c r="B69" s="519" t="s">
        <v>488</v>
      </c>
      <c r="C69" s="519"/>
      <c r="D69" s="519"/>
      <c r="E69">
        <v>100</v>
      </c>
      <c r="F69">
        <v>1.6</v>
      </c>
      <c r="G69">
        <f t="shared" si="7"/>
        <v>160</v>
      </c>
    </row>
    <row r="70" spans="1:7" x14ac:dyDescent="0.25">
      <c r="B70" s="519" t="s">
        <v>491</v>
      </c>
      <c r="C70" s="519"/>
      <c r="D70" s="519"/>
      <c r="E70">
        <v>1</v>
      </c>
      <c r="F70">
        <v>501</v>
      </c>
      <c r="G70">
        <f t="shared" si="7"/>
        <v>501</v>
      </c>
    </row>
    <row r="71" spans="1:7" x14ac:dyDescent="0.25">
      <c r="B71" s="519" t="s">
        <v>490</v>
      </c>
      <c r="C71" s="519"/>
      <c r="D71" s="519"/>
      <c r="E71">
        <v>0</v>
      </c>
      <c r="F71">
        <v>783.4</v>
      </c>
      <c r="G71">
        <f t="shared" si="7"/>
        <v>0</v>
      </c>
    </row>
    <row r="72" spans="1:7" x14ac:dyDescent="0.25">
      <c r="B72" s="519"/>
      <c r="C72" s="519"/>
      <c r="D72" s="519"/>
      <c r="G72" s="426">
        <f>SUM(G65:G71)</f>
        <v>1784</v>
      </c>
    </row>
    <row r="73" spans="1:7" x14ac:dyDescent="0.25">
      <c r="A73" s="428" t="s">
        <v>304</v>
      </c>
      <c r="B73" s="521"/>
      <c r="C73" s="521"/>
      <c r="D73" s="521"/>
      <c r="E73" s="430"/>
      <c r="F73" s="430"/>
      <c r="G73" s="430"/>
    </row>
    <row r="74" spans="1:7" x14ac:dyDescent="0.25">
      <c r="B74" s="519" t="s">
        <v>484</v>
      </c>
      <c r="C74" s="519"/>
      <c r="D74" s="519"/>
      <c r="E74">
        <v>1</v>
      </c>
      <c r="F74">
        <v>850</v>
      </c>
      <c r="G74">
        <f>E74*F74</f>
        <v>850</v>
      </c>
    </row>
    <row r="75" spans="1:7" x14ac:dyDescent="0.25">
      <c r="B75" s="519" t="s">
        <v>485</v>
      </c>
      <c r="C75" s="519"/>
      <c r="D75" s="519"/>
      <c r="E75">
        <v>1</v>
      </c>
      <c r="F75">
        <v>30</v>
      </c>
      <c r="G75">
        <f t="shared" ref="G75:G80" si="8">E75*F75</f>
        <v>30</v>
      </c>
    </row>
    <row r="76" spans="1:7" x14ac:dyDescent="0.25">
      <c r="B76" s="519" t="s">
        <v>486</v>
      </c>
      <c r="C76" s="519"/>
      <c r="D76" s="519"/>
      <c r="E76">
        <v>1</v>
      </c>
      <c r="F76">
        <v>215</v>
      </c>
      <c r="G76">
        <f t="shared" si="8"/>
        <v>215</v>
      </c>
    </row>
    <row r="77" spans="1:7" x14ac:dyDescent="0.25">
      <c r="B77" s="519" t="s">
        <v>487</v>
      </c>
      <c r="C77" s="519"/>
      <c r="D77" s="519"/>
      <c r="E77">
        <v>35</v>
      </c>
      <c r="F77">
        <v>1</v>
      </c>
      <c r="G77">
        <f t="shared" si="8"/>
        <v>35</v>
      </c>
    </row>
    <row r="78" spans="1:7" x14ac:dyDescent="0.25">
      <c r="B78" s="519" t="s">
        <v>488</v>
      </c>
      <c r="C78" s="519"/>
      <c r="D78" s="519"/>
      <c r="E78">
        <v>140</v>
      </c>
      <c r="F78">
        <v>1.6</v>
      </c>
      <c r="G78">
        <f t="shared" si="8"/>
        <v>224</v>
      </c>
    </row>
    <row r="79" spans="1:7" x14ac:dyDescent="0.25">
      <c r="B79" s="519" t="s">
        <v>493</v>
      </c>
      <c r="C79" s="519"/>
      <c r="D79" s="519"/>
      <c r="E79">
        <v>1</v>
      </c>
      <c r="F79">
        <v>661</v>
      </c>
      <c r="G79">
        <f t="shared" si="8"/>
        <v>661</v>
      </c>
    </row>
    <row r="80" spans="1:7" x14ac:dyDescent="0.25">
      <c r="B80" s="519" t="s">
        <v>490</v>
      </c>
      <c r="C80" s="519"/>
      <c r="D80" s="519"/>
      <c r="E80">
        <v>0</v>
      </c>
      <c r="F80">
        <v>783.4</v>
      </c>
      <c r="G80">
        <f t="shared" si="8"/>
        <v>0</v>
      </c>
    </row>
    <row r="81" spans="1:7" x14ac:dyDescent="0.25">
      <c r="B81" s="519"/>
      <c r="C81" s="519"/>
      <c r="D81" s="519"/>
      <c r="G81" s="426">
        <f>SUM(G74:G80)</f>
        <v>2015</v>
      </c>
    </row>
    <row r="82" spans="1:7" x14ac:dyDescent="0.25">
      <c r="A82" s="428" t="s">
        <v>314</v>
      </c>
      <c r="B82" s="521"/>
      <c r="C82" s="521"/>
      <c r="D82" s="521"/>
      <c r="E82" s="430"/>
      <c r="F82" s="430"/>
      <c r="G82" s="430"/>
    </row>
    <row r="83" spans="1:7" x14ac:dyDescent="0.25">
      <c r="A83" s="422" t="s">
        <v>494</v>
      </c>
      <c r="B83" s="519" t="s">
        <v>484</v>
      </c>
      <c r="C83" s="519"/>
      <c r="D83" s="519"/>
      <c r="E83">
        <v>1</v>
      </c>
      <c r="F83">
        <v>850</v>
      </c>
      <c r="G83">
        <f>E83*F83</f>
        <v>850</v>
      </c>
    </row>
    <row r="84" spans="1:7" x14ac:dyDescent="0.25">
      <c r="B84" s="519" t="s">
        <v>485</v>
      </c>
      <c r="C84" s="519"/>
      <c r="D84" s="519"/>
      <c r="E84">
        <v>1</v>
      </c>
      <c r="F84">
        <v>30</v>
      </c>
      <c r="G84">
        <f t="shared" ref="G84:G90" si="9">E84*F84</f>
        <v>30</v>
      </c>
    </row>
    <row r="85" spans="1:7" x14ac:dyDescent="0.25">
      <c r="B85" s="519" t="s">
        <v>486</v>
      </c>
      <c r="C85" s="519"/>
      <c r="D85" s="519"/>
      <c r="E85">
        <v>1</v>
      </c>
      <c r="F85">
        <v>215</v>
      </c>
      <c r="G85">
        <f t="shared" si="9"/>
        <v>215</v>
      </c>
    </row>
    <row r="86" spans="1:7" x14ac:dyDescent="0.25">
      <c r="B86" s="519" t="s">
        <v>487</v>
      </c>
      <c r="C86" s="519"/>
      <c r="D86" s="519"/>
      <c r="E86">
        <v>63</v>
      </c>
      <c r="F86">
        <v>1</v>
      </c>
      <c r="G86">
        <f t="shared" si="9"/>
        <v>63</v>
      </c>
    </row>
    <row r="87" spans="1:7" x14ac:dyDescent="0.25">
      <c r="B87" s="519" t="s">
        <v>488</v>
      </c>
      <c r="C87" s="519"/>
      <c r="D87" s="519"/>
      <c r="E87">
        <v>140</v>
      </c>
      <c r="F87">
        <v>1.6</v>
      </c>
      <c r="G87">
        <f t="shared" si="9"/>
        <v>224</v>
      </c>
    </row>
    <row r="88" spans="1:7" x14ac:dyDescent="0.25">
      <c r="B88" s="519" t="s">
        <v>491</v>
      </c>
      <c r="C88" s="519"/>
      <c r="D88" s="519"/>
      <c r="E88">
        <v>1</v>
      </c>
      <c r="F88">
        <v>501</v>
      </c>
      <c r="G88">
        <f t="shared" si="9"/>
        <v>501</v>
      </c>
    </row>
    <row r="89" spans="1:7" x14ac:dyDescent="0.25">
      <c r="B89" s="519" t="s">
        <v>493</v>
      </c>
      <c r="C89" s="519"/>
      <c r="D89" s="519"/>
      <c r="E89">
        <v>1</v>
      </c>
      <c r="F89">
        <v>661</v>
      </c>
      <c r="G89">
        <f t="shared" si="9"/>
        <v>661</v>
      </c>
    </row>
    <row r="90" spans="1:7" x14ac:dyDescent="0.25">
      <c r="B90" s="519" t="s">
        <v>490</v>
      </c>
      <c r="C90" s="519"/>
      <c r="D90" s="519"/>
      <c r="E90">
        <v>0</v>
      </c>
      <c r="F90">
        <v>783.4</v>
      </c>
      <c r="G90">
        <f t="shared" si="9"/>
        <v>0</v>
      </c>
    </row>
    <row r="91" spans="1:7" x14ac:dyDescent="0.25">
      <c r="B91" s="519"/>
      <c r="C91" s="519"/>
      <c r="D91" s="519"/>
      <c r="F91" s="431"/>
      <c r="G91" s="432">
        <f>SUM(G83:G90)</f>
        <v>2544</v>
      </c>
    </row>
    <row r="92" spans="1:7" x14ac:dyDescent="0.25">
      <c r="B92" s="520"/>
      <c r="C92" s="520"/>
      <c r="D92" s="520"/>
      <c r="F92" s="431" t="s">
        <v>495</v>
      </c>
      <c r="G92" s="426">
        <f>G91+G84+G85+G87+G90</f>
        <v>3013</v>
      </c>
    </row>
    <row r="93" spans="1:7" x14ac:dyDescent="0.25">
      <c r="A93" s="428" t="s">
        <v>315</v>
      </c>
      <c r="B93" s="521"/>
      <c r="C93" s="521"/>
      <c r="D93" s="521"/>
      <c r="E93" s="430"/>
      <c r="F93" s="430"/>
      <c r="G93" s="430"/>
    </row>
    <row r="94" spans="1:7" x14ac:dyDescent="0.25">
      <c r="A94" s="422" t="s">
        <v>494</v>
      </c>
      <c r="B94" s="519" t="s">
        <v>484</v>
      </c>
      <c r="C94" s="519"/>
      <c r="D94" s="519"/>
      <c r="E94">
        <v>1</v>
      </c>
      <c r="F94">
        <v>850</v>
      </c>
      <c r="G94">
        <f>E94*F94</f>
        <v>850</v>
      </c>
    </row>
    <row r="95" spans="1:7" x14ac:dyDescent="0.25">
      <c r="B95" s="519" t="s">
        <v>485</v>
      </c>
      <c r="C95" s="519"/>
      <c r="D95" s="519"/>
      <c r="E95">
        <v>1</v>
      </c>
      <c r="F95">
        <v>30</v>
      </c>
      <c r="G95">
        <f t="shared" ref="G95:G101" si="10">E95*F95</f>
        <v>30</v>
      </c>
    </row>
    <row r="96" spans="1:7" x14ac:dyDescent="0.25">
      <c r="B96" s="519" t="s">
        <v>486</v>
      </c>
      <c r="C96" s="519"/>
      <c r="D96" s="519"/>
      <c r="E96">
        <v>1</v>
      </c>
      <c r="F96">
        <v>215</v>
      </c>
      <c r="G96">
        <f t="shared" si="10"/>
        <v>215</v>
      </c>
    </row>
    <row r="97" spans="2:7" x14ac:dyDescent="0.25">
      <c r="B97" s="519" t="s">
        <v>487</v>
      </c>
      <c r="C97" s="519"/>
      <c r="D97" s="519"/>
      <c r="E97">
        <v>72</v>
      </c>
      <c r="F97">
        <v>1</v>
      </c>
      <c r="G97">
        <f t="shared" si="10"/>
        <v>72</v>
      </c>
    </row>
    <row r="98" spans="2:7" x14ac:dyDescent="0.25">
      <c r="B98" s="519" t="s">
        <v>488</v>
      </c>
      <c r="C98" s="519"/>
      <c r="D98" s="519"/>
      <c r="E98">
        <v>140</v>
      </c>
      <c r="F98">
        <v>1.6</v>
      </c>
      <c r="G98">
        <f t="shared" si="10"/>
        <v>224</v>
      </c>
    </row>
    <row r="99" spans="2:7" x14ac:dyDescent="0.25">
      <c r="B99" s="520" t="s">
        <v>493</v>
      </c>
      <c r="C99" s="520"/>
      <c r="D99" s="520"/>
      <c r="E99">
        <v>1</v>
      </c>
      <c r="F99">
        <v>661</v>
      </c>
      <c r="G99">
        <f t="shared" si="10"/>
        <v>661</v>
      </c>
    </row>
    <row r="100" spans="2:7" x14ac:dyDescent="0.25">
      <c r="B100" s="519" t="s">
        <v>496</v>
      </c>
      <c r="C100" s="519"/>
      <c r="D100" s="519"/>
      <c r="E100">
        <v>1</v>
      </c>
      <c r="F100">
        <v>701</v>
      </c>
      <c r="G100">
        <f t="shared" si="10"/>
        <v>701</v>
      </c>
    </row>
    <row r="101" spans="2:7" x14ac:dyDescent="0.25">
      <c r="B101" s="519" t="s">
        <v>490</v>
      </c>
      <c r="C101" s="519"/>
      <c r="D101" s="519"/>
      <c r="E101">
        <v>0</v>
      </c>
      <c r="F101">
        <v>783.4</v>
      </c>
      <c r="G101">
        <f t="shared" si="10"/>
        <v>0</v>
      </c>
    </row>
    <row r="102" spans="2:7" x14ac:dyDescent="0.25">
      <c r="B102" s="519"/>
      <c r="C102" s="519"/>
      <c r="D102" s="519"/>
      <c r="G102" s="432">
        <f>SUM(G94:G101)</f>
        <v>2753</v>
      </c>
    </row>
    <row r="103" spans="2:7" x14ac:dyDescent="0.25">
      <c r="F103" s="431" t="s">
        <v>497</v>
      </c>
      <c r="G103" s="426">
        <f>G102+G95+G96+G98+G101</f>
        <v>3222</v>
      </c>
    </row>
  </sheetData>
  <mergeCells count="107">
    <mergeCell ref="B7:D7"/>
    <mergeCell ref="B8:D8"/>
    <mergeCell ref="B9:D9"/>
    <mergeCell ref="B10:D10"/>
    <mergeCell ref="E10:G10"/>
    <mergeCell ref="B11:D11"/>
    <mergeCell ref="B1:D1"/>
    <mergeCell ref="B2:D2"/>
    <mergeCell ref="B3:D3"/>
    <mergeCell ref="B4:D4"/>
    <mergeCell ref="B5:D5"/>
    <mergeCell ref="B6:D6"/>
    <mergeCell ref="B18:D18"/>
    <mergeCell ref="B19:D19"/>
    <mergeCell ref="E19:G19"/>
    <mergeCell ref="B20:D20"/>
    <mergeCell ref="B21:D21"/>
    <mergeCell ref="B22:D22"/>
    <mergeCell ref="B12:D12"/>
    <mergeCell ref="B13:D13"/>
    <mergeCell ref="B14:D14"/>
    <mergeCell ref="B15:D15"/>
    <mergeCell ref="B16:D16"/>
    <mergeCell ref="B17:D17"/>
    <mergeCell ref="E37:G37"/>
    <mergeCell ref="B38:D38"/>
    <mergeCell ref="E28:G28"/>
    <mergeCell ref="B29:D29"/>
    <mergeCell ref="B30:D30"/>
    <mergeCell ref="B31:D31"/>
    <mergeCell ref="B32:D32"/>
    <mergeCell ref="B33:D33"/>
    <mergeCell ref="B23:D23"/>
    <mergeCell ref="B24:D24"/>
    <mergeCell ref="B25:D25"/>
    <mergeCell ref="B26:D26"/>
    <mergeCell ref="B27:D27"/>
    <mergeCell ref="B28:D28"/>
    <mergeCell ref="B39:D39"/>
    <mergeCell ref="B40:D40"/>
    <mergeCell ref="B41:D41"/>
    <mergeCell ref="B42:D42"/>
    <mergeCell ref="B43:D43"/>
    <mergeCell ref="B44:D44"/>
    <mergeCell ref="B34:D34"/>
    <mergeCell ref="B35:D35"/>
    <mergeCell ref="B36:D36"/>
    <mergeCell ref="B37:D37"/>
    <mergeCell ref="B50:D50"/>
    <mergeCell ref="B51:D51"/>
    <mergeCell ref="B52:D52"/>
    <mergeCell ref="B53:D53"/>
    <mergeCell ref="B54:D54"/>
    <mergeCell ref="B55:D55"/>
    <mergeCell ref="B45:D45"/>
    <mergeCell ref="B46:D46"/>
    <mergeCell ref="E46:G46"/>
    <mergeCell ref="B47:D47"/>
    <mergeCell ref="B48:D48"/>
    <mergeCell ref="B49:D49"/>
    <mergeCell ref="B62:D62"/>
    <mergeCell ref="B63:D63"/>
    <mergeCell ref="B64:D64"/>
    <mergeCell ref="B65:D65"/>
    <mergeCell ref="B66:D66"/>
    <mergeCell ref="B67:D67"/>
    <mergeCell ref="B56:D56"/>
    <mergeCell ref="B57:D57"/>
    <mergeCell ref="B58:D58"/>
    <mergeCell ref="B59:D59"/>
    <mergeCell ref="B60:D60"/>
    <mergeCell ref="B61:D61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86:D86"/>
    <mergeCell ref="B87:D87"/>
    <mergeCell ref="B88:D88"/>
    <mergeCell ref="B89:D89"/>
    <mergeCell ref="B90:D90"/>
    <mergeCell ref="B91:D91"/>
    <mergeCell ref="B80:D80"/>
    <mergeCell ref="B81:D81"/>
    <mergeCell ref="B82:D82"/>
    <mergeCell ref="B83:D83"/>
    <mergeCell ref="B84:D84"/>
    <mergeCell ref="B85:D85"/>
    <mergeCell ref="B98:D98"/>
    <mergeCell ref="B99:D99"/>
    <mergeCell ref="B100:D100"/>
    <mergeCell ref="B101:D101"/>
    <mergeCell ref="B102:D102"/>
    <mergeCell ref="B92:D92"/>
    <mergeCell ref="B93:D93"/>
    <mergeCell ref="B94:D94"/>
    <mergeCell ref="B95:D95"/>
    <mergeCell ref="B96:D96"/>
    <mergeCell ref="B97:D97"/>
  </mergeCells>
  <pageMargins left="0.7" right="0.7" top="0.75" bottom="0.75" header="0.3" footer="0.3"/>
  <pageSetup paperSize="8" scale="4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27"/>
  <dimension ref="A13:S133"/>
  <sheetViews>
    <sheetView topLeftCell="A40" zoomScale="85" zoomScaleNormal="85" workbookViewId="0">
      <selection activeCell="H76" sqref="H76"/>
    </sheetView>
  </sheetViews>
  <sheetFormatPr defaultRowHeight="15" x14ac:dyDescent="0.25"/>
  <cols>
    <col min="2" max="2" width="39" customWidth="1"/>
    <col min="5" max="5" width="41.140625" customWidth="1"/>
    <col min="6" max="6" width="16.140625" customWidth="1"/>
    <col min="8" max="8" width="11" customWidth="1"/>
    <col min="9" max="9" width="14.5703125" customWidth="1"/>
    <col min="10" max="10" width="12.140625" customWidth="1"/>
    <col min="11" max="11" width="11" customWidth="1"/>
    <col min="12" max="12" width="15.42578125" customWidth="1"/>
    <col min="13" max="13" width="12" customWidth="1"/>
    <col min="14" max="14" width="13.5703125" customWidth="1"/>
    <col min="15" max="15" width="12.85546875" customWidth="1"/>
    <col min="16" max="16" width="14.42578125" customWidth="1"/>
    <col min="17" max="17" width="10.140625" bestFit="1" customWidth="1"/>
    <col min="18" max="19" width="11.140625" bestFit="1" customWidth="1"/>
  </cols>
  <sheetData>
    <row r="13" spans="1:16" s="344" customFormat="1" ht="91.5" customHeight="1" x14ac:dyDescent="0.25">
      <c r="A13" s="341" t="s">
        <v>316</v>
      </c>
      <c r="B13" s="595" t="s">
        <v>317</v>
      </c>
      <c r="C13" s="596"/>
      <c r="D13" s="596"/>
      <c r="E13" s="597"/>
      <c r="F13" s="342" t="s">
        <v>318</v>
      </c>
      <c r="G13" s="342" t="s">
        <v>319</v>
      </c>
      <c r="H13" s="342" t="s">
        <v>320</v>
      </c>
      <c r="I13" s="342" t="s">
        <v>321</v>
      </c>
      <c r="J13" s="342" t="s">
        <v>322</v>
      </c>
      <c r="K13" s="342" t="s">
        <v>323</v>
      </c>
      <c r="L13" s="342" t="s">
        <v>324</v>
      </c>
      <c r="M13" s="342" t="s">
        <v>325</v>
      </c>
      <c r="N13" s="343" t="s">
        <v>326</v>
      </c>
      <c r="O13" s="342" t="s">
        <v>327</v>
      </c>
      <c r="P13" s="342" t="s">
        <v>328</v>
      </c>
    </row>
    <row r="14" spans="1:16" ht="15" customHeight="1" x14ac:dyDescent="0.25">
      <c r="A14" s="598" t="s">
        <v>329</v>
      </c>
      <c r="B14" s="345" t="s">
        <v>453</v>
      </c>
      <c r="C14" s="345"/>
      <c r="D14" s="345"/>
      <c r="E14" s="345"/>
      <c r="F14" s="345" t="s">
        <v>75</v>
      </c>
      <c r="G14" s="346">
        <v>20</v>
      </c>
      <c r="H14" s="347">
        <v>7518.46</v>
      </c>
      <c r="I14" s="347">
        <v>150369.26</v>
      </c>
      <c r="J14" s="348">
        <v>0.2</v>
      </c>
      <c r="K14" s="347">
        <v>30073.85</v>
      </c>
      <c r="L14" s="347">
        <v>180443.11</v>
      </c>
      <c r="M14" s="599">
        <f>SUM(I14:I45)</f>
        <v>763261.70000000054</v>
      </c>
      <c r="N14" s="349">
        <f>(H14+H14/100*O14)+((H14+H14/100*O14)/100*20)</f>
        <v>9258.5624474258311</v>
      </c>
      <c r="O14" s="602">
        <f>P14/(M14/100)</f>
        <v>2.620333235638574</v>
      </c>
      <c r="P14" s="602">
        <f>SUM(K119)</f>
        <v>20000</v>
      </c>
    </row>
    <row r="15" spans="1:16" ht="15" customHeight="1" x14ac:dyDescent="0.25">
      <c r="A15" s="598"/>
      <c r="B15" s="345" t="s">
        <v>454</v>
      </c>
      <c r="C15" s="345"/>
      <c r="D15" s="345"/>
      <c r="E15" s="345"/>
      <c r="F15" s="345" t="s">
        <v>75</v>
      </c>
      <c r="G15" s="346">
        <v>15</v>
      </c>
      <c r="H15" s="347">
        <v>8184.75</v>
      </c>
      <c r="I15" s="347">
        <v>122771.27</v>
      </c>
      <c r="J15" s="348">
        <v>0.2</v>
      </c>
      <c r="K15" s="347">
        <v>24554.25</v>
      </c>
      <c r="L15" s="347">
        <v>147325.51999999999</v>
      </c>
      <c r="M15" s="600"/>
      <c r="N15" s="349">
        <f>(H15+H15/100*O14)+((H15+H15/100*O14)/100*20)</f>
        <v>10079.061269404712</v>
      </c>
      <c r="O15" s="603"/>
      <c r="P15" s="600"/>
    </row>
    <row r="16" spans="1:16" ht="15" customHeight="1" x14ac:dyDescent="0.25">
      <c r="A16" s="598"/>
      <c r="B16" s="345" t="s">
        <v>455</v>
      </c>
      <c r="C16" s="345"/>
      <c r="D16" s="345"/>
      <c r="E16" s="345"/>
      <c r="F16" s="345" t="s">
        <v>75</v>
      </c>
      <c r="G16" s="346">
        <v>10</v>
      </c>
      <c r="H16" s="347">
        <v>9191.65</v>
      </c>
      <c r="I16" s="347">
        <v>91916.49</v>
      </c>
      <c r="J16" s="348">
        <v>0.2</v>
      </c>
      <c r="K16" s="347">
        <v>18383.3</v>
      </c>
      <c r="L16" s="347">
        <v>110299.79</v>
      </c>
      <c r="M16" s="600"/>
      <c r="N16" s="349">
        <f>(H16+H16/100*O14)+((H16+H16/100*O14)/100*20)</f>
        <v>11319.002231824288</v>
      </c>
      <c r="O16" s="603"/>
      <c r="P16" s="600"/>
    </row>
    <row r="17" spans="1:16" ht="15" customHeight="1" x14ac:dyDescent="0.25">
      <c r="A17" s="598"/>
      <c r="B17" s="345" t="s">
        <v>456</v>
      </c>
      <c r="C17" s="345"/>
      <c r="D17" s="345"/>
      <c r="E17" s="345"/>
      <c r="F17" s="345" t="s">
        <v>75</v>
      </c>
      <c r="G17" s="346">
        <v>5</v>
      </c>
      <c r="H17" s="347">
        <v>12552.58</v>
      </c>
      <c r="I17" s="347">
        <v>62762.879999999997</v>
      </c>
      <c r="J17" s="348">
        <v>0.2</v>
      </c>
      <c r="K17" s="347">
        <v>12552.58</v>
      </c>
      <c r="L17" s="347">
        <v>75315.460000000006</v>
      </c>
      <c r="M17" s="600"/>
      <c r="N17" s="349">
        <f>(H17+H17/100*O14)+((H17+H17/100*O14)/100*20)</f>
        <v>15457.799310804145</v>
      </c>
      <c r="O17" s="603"/>
      <c r="P17" s="600"/>
    </row>
    <row r="18" spans="1:16" ht="15" customHeight="1" x14ac:dyDescent="0.25">
      <c r="A18" s="598"/>
      <c r="B18" s="345" t="s">
        <v>457</v>
      </c>
      <c r="C18" s="345"/>
      <c r="D18" s="345"/>
      <c r="E18" s="345"/>
      <c r="F18" s="345" t="s">
        <v>75</v>
      </c>
      <c r="G18" s="346">
        <v>5</v>
      </c>
      <c r="H18" s="347">
        <v>11310.46</v>
      </c>
      <c r="I18" s="347">
        <v>56552.32</v>
      </c>
      <c r="J18" s="348">
        <v>0.2</v>
      </c>
      <c r="K18" s="347">
        <v>11310.46</v>
      </c>
      <c r="L18" s="347">
        <v>67862.78</v>
      </c>
      <c r="M18" s="600"/>
      <c r="N18" s="349">
        <f>(H18+H18/100*O14)+((H18+H18/100*O14)/100*20)</f>
        <v>13928.198090980328</v>
      </c>
      <c r="O18" s="603"/>
      <c r="P18" s="600"/>
    </row>
    <row r="19" spans="1:16" ht="15" customHeight="1" x14ac:dyDescent="0.25">
      <c r="A19" s="598"/>
      <c r="B19" s="345" t="s">
        <v>330</v>
      </c>
      <c r="C19" s="345"/>
      <c r="D19" s="345"/>
      <c r="E19" s="345"/>
      <c r="F19" s="345" t="s">
        <v>75</v>
      </c>
      <c r="G19" s="346">
        <v>3</v>
      </c>
      <c r="H19" s="347">
        <v>6019.6</v>
      </c>
      <c r="I19" s="347">
        <v>18058.810000000001</v>
      </c>
      <c r="J19" s="348">
        <v>0.2</v>
      </c>
      <c r="K19" s="347">
        <v>3611.76</v>
      </c>
      <c r="L19" s="347">
        <v>21670.57</v>
      </c>
      <c r="M19" s="600"/>
      <c r="N19" s="349">
        <f>(H19+H19/100*O14)+((H19+H19/100*O14)/100*20)</f>
        <v>7412.8002953430005</v>
      </c>
      <c r="O19" s="603"/>
      <c r="P19" s="600"/>
    </row>
    <row r="20" spans="1:16" ht="15" customHeight="1" x14ac:dyDescent="0.25">
      <c r="A20" s="598"/>
      <c r="B20" s="345" t="s">
        <v>331</v>
      </c>
      <c r="C20" s="345"/>
      <c r="D20" s="345"/>
      <c r="E20" s="345"/>
      <c r="F20" s="345" t="s">
        <v>75</v>
      </c>
      <c r="G20" s="346">
        <v>3</v>
      </c>
      <c r="H20" s="347">
        <v>5955.88</v>
      </c>
      <c r="I20" s="347">
        <v>17867.63</v>
      </c>
      <c r="J20" s="348">
        <v>0.2</v>
      </c>
      <c r="K20" s="347">
        <v>3573.53</v>
      </c>
      <c r="L20" s="347">
        <v>21441.16</v>
      </c>
      <c r="M20" s="600"/>
      <c r="N20" s="349">
        <f>(H20+H20/100*O14)+((H20+H20/100*O14)/100*20)</f>
        <v>7334.3326837377008</v>
      </c>
      <c r="O20" s="603"/>
      <c r="P20" s="600"/>
    </row>
    <row r="21" spans="1:16" ht="15" customHeight="1" x14ac:dyDescent="0.25">
      <c r="A21" s="598"/>
      <c r="B21" s="345" t="s">
        <v>332</v>
      </c>
      <c r="C21" s="345"/>
      <c r="D21" s="345"/>
      <c r="E21" s="345"/>
      <c r="F21" s="345" t="s">
        <v>75</v>
      </c>
      <c r="G21" s="346">
        <v>3</v>
      </c>
      <c r="H21" s="347">
        <v>7857.18</v>
      </c>
      <c r="I21" s="347">
        <v>23571.53</v>
      </c>
      <c r="J21" s="348">
        <v>0.2</v>
      </c>
      <c r="K21" s="347">
        <v>4714.3100000000004</v>
      </c>
      <c r="L21" s="347">
        <v>28285.84</v>
      </c>
      <c r="M21" s="600"/>
      <c r="N21" s="349">
        <f>(H21+H21/100*O14)+((H21+H21/100*O14)/100*20)</f>
        <v>9675.6771587087351</v>
      </c>
      <c r="O21" s="603"/>
      <c r="P21" s="600"/>
    </row>
    <row r="22" spans="1:16" ht="15" customHeight="1" x14ac:dyDescent="0.25">
      <c r="A22" s="598"/>
      <c r="B22" s="345" t="s">
        <v>333</v>
      </c>
      <c r="C22" s="345"/>
      <c r="D22" s="345"/>
      <c r="E22" s="345"/>
      <c r="F22" s="345" t="s">
        <v>75</v>
      </c>
      <c r="G22" s="346">
        <v>2</v>
      </c>
      <c r="H22" s="347">
        <v>8269.41</v>
      </c>
      <c r="I22" s="347">
        <v>16538.810000000001</v>
      </c>
      <c r="J22" s="348">
        <v>0.2</v>
      </c>
      <c r="K22" s="347">
        <v>3307.76</v>
      </c>
      <c r="L22" s="347">
        <v>19846.57</v>
      </c>
      <c r="M22" s="600"/>
      <c r="N22" s="349">
        <f>(H22+H22/100*O14)+((H22+H22/100*O14)/100*20)</f>
        <v>10183.315318345463</v>
      </c>
      <c r="O22" s="603"/>
      <c r="P22" s="600"/>
    </row>
    <row r="23" spans="1:16" ht="15" customHeight="1" x14ac:dyDescent="0.25">
      <c r="A23" s="598"/>
      <c r="B23" s="345" t="s">
        <v>334</v>
      </c>
      <c r="C23" s="345"/>
      <c r="D23" s="345"/>
      <c r="E23" s="345"/>
      <c r="F23" s="345" t="s">
        <v>75</v>
      </c>
      <c r="G23" s="346">
        <v>2</v>
      </c>
      <c r="H23" s="347">
        <v>10004.629999999999</v>
      </c>
      <c r="I23" s="347">
        <v>20009.25</v>
      </c>
      <c r="J23" s="348">
        <v>0.2</v>
      </c>
      <c r="K23" s="347">
        <v>4001.85</v>
      </c>
      <c r="L23" s="347">
        <v>24011.1</v>
      </c>
      <c r="M23" s="600"/>
      <c r="N23" s="349">
        <f>(H23+H23/100*O14)+((H23+H23/100*O14)/100*20)</f>
        <v>12320.141573991201</v>
      </c>
      <c r="O23" s="603"/>
      <c r="P23" s="600"/>
    </row>
    <row r="24" spans="1:16" ht="15" customHeight="1" x14ac:dyDescent="0.25">
      <c r="A24" s="598"/>
      <c r="B24" s="345" t="s">
        <v>335</v>
      </c>
      <c r="C24" s="345"/>
      <c r="D24" s="345"/>
      <c r="E24" s="345"/>
      <c r="F24" s="345" t="s">
        <v>78</v>
      </c>
      <c r="G24" s="346">
        <v>1180</v>
      </c>
      <c r="H24" s="345">
        <v>35.61</v>
      </c>
      <c r="I24" s="347">
        <v>42020.18</v>
      </c>
      <c r="J24" s="348">
        <v>0.2</v>
      </c>
      <c r="K24" s="347">
        <v>8404.0400000000009</v>
      </c>
      <c r="L24" s="347">
        <v>50424.22</v>
      </c>
      <c r="M24" s="600"/>
      <c r="N24" s="349">
        <f>(H24+H24/100*O14)+((H24+H24/100*O14)/100*20)</f>
        <v>43.851720798253069</v>
      </c>
      <c r="O24" s="603"/>
      <c r="P24" s="600"/>
    </row>
    <row r="25" spans="1:16" ht="15" customHeight="1" x14ac:dyDescent="0.25">
      <c r="A25" s="598"/>
      <c r="B25" s="345" t="s">
        <v>336</v>
      </c>
      <c r="C25" s="345"/>
      <c r="D25" s="345"/>
      <c r="E25" s="345"/>
      <c r="F25" s="345" t="s">
        <v>78</v>
      </c>
      <c r="G25" s="346">
        <v>1180</v>
      </c>
      <c r="H25" s="345">
        <v>35.61</v>
      </c>
      <c r="I25" s="347">
        <v>42020.18</v>
      </c>
      <c r="J25" s="348">
        <v>0.2</v>
      </c>
      <c r="K25" s="347">
        <v>8404.0400000000009</v>
      </c>
      <c r="L25" s="347">
        <v>50424.22</v>
      </c>
      <c r="M25" s="600"/>
      <c r="N25" s="349">
        <f>(H25+H25/100*O14)+((H25+H25/100*O14)/100*20)</f>
        <v>43.851720798253069</v>
      </c>
      <c r="O25" s="603"/>
      <c r="P25" s="600"/>
    </row>
    <row r="26" spans="1:16" ht="15" customHeight="1" x14ac:dyDescent="0.25">
      <c r="A26" s="598"/>
      <c r="B26" s="345" t="s">
        <v>337</v>
      </c>
      <c r="C26" s="345"/>
      <c r="D26" s="345"/>
      <c r="E26" s="345"/>
      <c r="F26" s="345" t="s">
        <v>78</v>
      </c>
      <c r="G26" s="346">
        <v>60</v>
      </c>
      <c r="H26" s="345">
        <v>20.149999999999999</v>
      </c>
      <c r="I26" s="347">
        <v>1208.8699999999999</v>
      </c>
      <c r="J26" s="348">
        <v>0.2</v>
      </c>
      <c r="K26" s="345">
        <v>241.78</v>
      </c>
      <c r="L26" s="347">
        <v>1450.65</v>
      </c>
      <c r="M26" s="600"/>
      <c r="N26" s="349">
        <f>(H26+H26/100*O14)+((H26+H26/100*O14)/100*20)</f>
        <v>24.813596576377403</v>
      </c>
      <c r="O26" s="603"/>
      <c r="P26" s="600"/>
    </row>
    <row r="27" spans="1:16" ht="15" customHeight="1" x14ac:dyDescent="0.25">
      <c r="A27" s="598"/>
      <c r="B27" s="345" t="s">
        <v>338</v>
      </c>
      <c r="C27" s="345"/>
      <c r="D27" s="345"/>
      <c r="E27" s="345"/>
      <c r="F27" s="345" t="s">
        <v>78</v>
      </c>
      <c r="G27" s="346">
        <v>60</v>
      </c>
      <c r="H27" s="345">
        <v>20.149999999999999</v>
      </c>
      <c r="I27" s="347">
        <v>1208.8699999999999</v>
      </c>
      <c r="J27" s="348">
        <v>0.2</v>
      </c>
      <c r="K27" s="345">
        <v>241.78</v>
      </c>
      <c r="L27" s="347">
        <v>1450.65</v>
      </c>
      <c r="M27" s="600"/>
      <c r="N27" s="349">
        <f>(H27+H27/100*O14)+((H27+H27/100*O14)/100*20)</f>
        <v>24.813596576377403</v>
      </c>
      <c r="O27" s="603"/>
      <c r="P27" s="600"/>
    </row>
    <row r="28" spans="1:16" ht="15" customHeight="1" x14ac:dyDescent="0.25">
      <c r="A28" s="598"/>
      <c r="B28" s="345" t="s">
        <v>339</v>
      </c>
      <c r="C28" s="345"/>
      <c r="D28" s="345"/>
      <c r="E28" s="345"/>
      <c r="F28" s="345" t="s">
        <v>78</v>
      </c>
      <c r="G28" s="346">
        <v>105</v>
      </c>
      <c r="H28" s="345">
        <v>45.45</v>
      </c>
      <c r="I28" s="347">
        <v>4772.41</v>
      </c>
      <c r="J28" s="348">
        <v>0.2</v>
      </c>
      <c r="K28" s="345">
        <v>954.48</v>
      </c>
      <c r="L28" s="347">
        <v>5726.89</v>
      </c>
      <c r="M28" s="600"/>
      <c r="N28" s="349">
        <f>(H28+H28/100*O14)+((H28+H28/100*O14)/100*20)</f>
        <v>55.969129746717279</v>
      </c>
      <c r="O28" s="603"/>
      <c r="P28" s="600"/>
    </row>
    <row r="29" spans="1:16" ht="15" customHeight="1" x14ac:dyDescent="0.25">
      <c r="A29" s="598"/>
      <c r="B29" s="345" t="s">
        <v>340</v>
      </c>
      <c r="C29" s="345"/>
      <c r="D29" s="345"/>
      <c r="E29" s="345"/>
      <c r="F29" s="345" t="s">
        <v>78</v>
      </c>
      <c r="G29" s="346">
        <v>105</v>
      </c>
      <c r="H29" s="345">
        <v>45.45</v>
      </c>
      <c r="I29" s="347">
        <v>4772.41</v>
      </c>
      <c r="J29" s="348">
        <v>0.2</v>
      </c>
      <c r="K29" s="345">
        <v>954.48</v>
      </c>
      <c r="L29" s="347">
        <v>5726.89</v>
      </c>
      <c r="M29" s="600"/>
      <c r="N29" s="349">
        <f>(H29+H29/100*O14)+((H29+H29/100*O14)/100*20)</f>
        <v>55.969129746717279</v>
      </c>
      <c r="O29" s="603"/>
      <c r="P29" s="600"/>
    </row>
    <row r="30" spans="1:16" ht="15" customHeight="1" x14ac:dyDescent="0.25">
      <c r="A30" s="598"/>
      <c r="B30" s="345" t="s">
        <v>341</v>
      </c>
      <c r="C30" s="345"/>
      <c r="D30" s="345"/>
      <c r="E30" s="345"/>
      <c r="F30" s="345" t="s">
        <v>78</v>
      </c>
      <c r="G30" s="346">
        <v>75</v>
      </c>
      <c r="H30" s="345">
        <v>123.7</v>
      </c>
      <c r="I30" s="347">
        <v>9277.42</v>
      </c>
      <c r="J30" s="348">
        <v>0.2</v>
      </c>
      <c r="K30" s="347">
        <v>1855.49</v>
      </c>
      <c r="L30" s="347">
        <v>11132.91</v>
      </c>
      <c r="M30" s="600"/>
      <c r="N30" s="349">
        <f>(H30+H30/100*O14)+((H30+H30/100*O14)/100*20)</f>
        <v>152.3296226549819</v>
      </c>
      <c r="O30" s="603"/>
      <c r="P30" s="600"/>
    </row>
    <row r="31" spans="1:16" ht="15" customHeight="1" x14ac:dyDescent="0.25">
      <c r="A31" s="598"/>
      <c r="B31" s="345" t="s">
        <v>342</v>
      </c>
      <c r="C31" s="345"/>
      <c r="D31" s="345"/>
      <c r="E31" s="345"/>
      <c r="F31" s="345" t="s">
        <v>78</v>
      </c>
      <c r="G31" s="346">
        <v>40</v>
      </c>
      <c r="H31" s="345">
        <v>123.7</v>
      </c>
      <c r="I31" s="345">
        <v>4948.01</v>
      </c>
      <c r="J31" s="348">
        <v>0.2</v>
      </c>
      <c r="K31" s="345">
        <v>989.61</v>
      </c>
      <c r="L31" s="345">
        <v>5937.62</v>
      </c>
      <c r="M31" s="600"/>
      <c r="N31" s="349">
        <f>(H31+H31/100*O14)+((H31+H31/100*O14)/100*20)</f>
        <v>152.3296226549819</v>
      </c>
      <c r="O31" s="603"/>
      <c r="P31" s="600"/>
    </row>
    <row r="32" spans="1:16" ht="15" customHeight="1" x14ac:dyDescent="0.25">
      <c r="A32" s="598"/>
      <c r="B32" s="345" t="s">
        <v>342</v>
      </c>
      <c r="C32" s="345"/>
      <c r="D32" s="345"/>
      <c r="E32" s="345"/>
      <c r="F32" s="345" t="s">
        <v>78</v>
      </c>
      <c r="G32" s="346">
        <v>35</v>
      </c>
      <c r="H32" s="345">
        <v>123.7</v>
      </c>
      <c r="I32" s="345">
        <v>4329.51</v>
      </c>
      <c r="J32" s="348">
        <v>0.2</v>
      </c>
      <c r="K32" s="345">
        <v>865.9</v>
      </c>
      <c r="L32" s="345">
        <v>5195.41</v>
      </c>
      <c r="M32" s="600"/>
      <c r="N32" s="349">
        <f>(H32+H32/100*O14)+((H32+H32/100*O14)/100*20)</f>
        <v>152.3296226549819</v>
      </c>
      <c r="O32" s="603"/>
      <c r="P32" s="600"/>
    </row>
    <row r="33" spans="1:19" ht="15" customHeight="1" x14ac:dyDescent="0.25">
      <c r="A33" s="598"/>
      <c r="B33" s="345" t="s">
        <v>343</v>
      </c>
      <c r="C33" s="345"/>
      <c r="D33" s="345"/>
      <c r="E33" s="345"/>
      <c r="F33" s="345" t="s">
        <v>78</v>
      </c>
      <c r="G33" s="346">
        <v>30</v>
      </c>
      <c r="H33" s="345">
        <v>197.73</v>
      </c>
      <c r="I33" s="345">
        <v>5931.93</v>
      </c>
      <c r="J33" s="348">
        <v>0.2</v>
      </c>
      <c r="K33" s="345">
        <v>1186.3900000000001</v>
      </c>
      <c r="L33" s="345">
        <v>7118.32</v>
      </c>
      <c r="M33" s="600"/>
      <c r="N33" s="349">
        <f>(H33+H33/100*O14)+((H33+H33/100*O14)/100*20)</f>
        <v>243.49342188819378</v>
      </c>
      <c r="O33" s="603"/>
      <c r="P33" s="600"/>
    </row>
    <row r="34" spans="1:19" ht="15" customHeight="1" x14ac:dyDescent="0.25">
      <c r="A34" s="598"/>
      <c r="B34" s="345" t="s">
        <v>344</v>
      </c>
      <c r="C34" s="345"/>
      <c r="D34" s="345"/>
      <c r="E34" s="345"/>
      <c r="F34" s="345" t="s">
        <v>78</v>
      </c>
      <c r="G34" s="346">
        <v>30</v>
      </c>
      <c r="H34" s="345">
        <v>197.73</v>
      </c>
      <c r="I34" s="345">
        <v>5931.93</v>
      </c>
      <c r="J34" s="348">
        <v>0.2</v>
      </c>
      <c r="K34" s="345">
        <v>1186.3900000000001</v>
      </c>
      <c r="L34" s="345">
        <v>7118.32</v>
      </c>
      <c r="M34" s="600"/>
      <c r="N34" s="349">
        <f>(H34+H34/100*O14)+((H34+H34/100*O14)/100*20)</f>
        <v>243.49342188819378</v>
      </c>
      <c r="O34" s="603"/>
      <c r="P34" s="600"/>
    </row>
    <row r="35" spans="1:19" ht="15" customHeight="1" x14ac:dyDescent="0.25">
      <c r="A35" s="598"/>
      <c r="B35" s="345" t="s">
        <v>345</v>
      </c>
      <c r="C35" s="345"/>
      <c r="D35" s="345"/>
      <c r="E35" s="345"/>
      <c r="F35" s="345" t="s">
        <v>78</v>
      </c>
      <c r="G35" s="346">
        <v>45</v>
      </c>
      <c r="H35" s="345">
        <v>275.98</v>
      </c>
      <c r="I35" s="345">
        <v>12419.1</v>
      </c>
      <c r="J35" s="348">
        <v>0.2</v>
      </c>
      <c r="K35" s="345">
        <v>2483.8200000000002</v>
      </c>
      <c r="L35" s="345">
        <v>14902.92</v>
      </c>
      <c r="M35" s="600"/>
      <c r="N35" s="349">
        <f>(H35+H35/100*O14)+((H35+H35/100*O14)/100*20)</f>
        <v>339.85391479645841</v>
      </c>
      <c r="O35" s="603"/>
      <c r="P35" s="600"/>
    </row>
    <row r="36" spans="1:19" ht="15" customHeight="1" x14ac:dyDescent="0.25">
      <c r="A36" s="598"/>
      <c r="B36" s="345" t="s">
        <v>345</v>
      </c>
      <c r="C36" s="345"/>
      <c r="D36" s="345"/>
      <c r="E36" s="345"/>
      <c r="F36" s="345" t="s">
        <v>78</v>
      </c>
      <c r="G36" s="346">
        <v>11</v>
      </c>
      <c r="H36" s="345">
        <v>275.98</v>
      </c>
      <c r="I36" s="345">
        <v>3035.78</v>
      </c>
      <c r="J36" s="348">
        <v>0.2</v>
      </c>
      <c r="K36" s="345">
        <v>607.16</v>
      </c>
      <c r="L36" s="345">
        <v>3642.94</v>
      </c>
      <c r="M36" s="600"/>
      <c r="N36" s="349">
        <f>(H36+H36/100*O14)+((H36+H36/100*O14)/100*20)</f>
        <v>339.85391479645841</v>
      </c>
      <c r="O36" s="603"/>
      <c r="P36" s="600"/>
    </row>
    <row r="37" spans="1:19" ht="15" customHeight="1" x14ac:dyDescent="0.25">
      <c r="A37" s="598"/>
      <c r="B37" s="345" t="s">
        <v>346</v>
      </c>
      <c r="C37" s="345"/>
      <c r="D37" s="345"/>
      <c r="E37" s="345"/>
      <c r="F37" s="345" t="s">
        <v>78</v>
      </c>
      <c r="G37" s="346">
        <v>56</v>
      </c>
      <c r="H37" s="345">
        <v>275.98</v>
      </c>
      <c r="I37" s="345">
        <v>15454.88</v>
      </c>
      <c r="J37" s="348">
        <v>0.2</v>
      </c>
      <c r="K37" s="345">
        <v>3090.98</v>
      </c>
      <c r="L37" s="345">
        <v>18545.86</v>
      </c>
      <c r="M37" s="600"/>
      <c r="N37" s="349">
        <f>(H37+H37/100*O14)+((H37+H37/100*O14)/100*20)</f>
        <v>339.85391479645841</v>
      </c>
      <c r="O37" s="603"/>
      <c r="P37" s="600"/>
    </row>
    <row r="38" spans="1:19" ht="15" customHeight="1" x14ac:dyDescent="0.25">
      <c r="A38" s="598"/>
      <c r="B38" s="345" t="s">
        <v>347</v>
      </c>
      <c r="C38" s="345"/>
      <c r="D38" s="345"/>
      <c r="E38" s="345"/>
      <c r="F38" s="345" t="s">
        <v>78</v>
      </c>
      <c r="G38" s="346">
        <v>15</v>
      </c>
      <c r="H38" s="345">
        <v>395.46</v>
      </c>
      <c r="I38" s="345">
        <v>5931.93</v>
      </c>
      <c r="J38" s="348">
        <v>0.2</v>
      </c>
      <c r="K38" s="345">
        <v>1186.3900000000001</v>
      </c>
      <c r="L38" s="345">
        <v>7118.32</v>
      </c>
      <c r="M38" s="600"/>
      <c r="N38" s="349">
        <f>(H38+H38/100*O14)+((H38+H38/100*O14)/100*20)</f>
        <v>486.98684377638756</v>
      </c>
      <c r="O38" s="603"/>
      <c r="P38" s="600"/>
    </row>
    <row r="39" spans="1:19" ht="15" customHeight="1" x14ac:dyDescent="0.25">
      <c r="A39" s="598"/>
      <c r="B39" s="345" t="s">
        <v>348</v>
      </c>
      <c r="C39" s="345"/>
      <c r="D39" s="345"/>
      <c r="E39" s="345"/>
      <c r="F39" s="345" t="s">
        <v>78</v>
      </c>
      <c r="G39" s="346">
        <v>15</v>
      </c>
      <c r="H39" s="345">
        <v>395.46</v>
      </c>
      <c r="I39" s="345">
        <v>5931.93</v>
      </c>
      <c r="J39" s="348">
        <v>0.2</v>
      </c>
      <c r="K39" s="345">
        <v>1186.3900000000001</v>
      </c>
      <c r="L39" s="345">
        <v>7118.32</v>
      </c>
      <c r="M39" s="600"/>
      <c r="N39" s="349">
        <f>(H39+H39/100*O14)+((H39+H39/100*O14)/100*20)</f>
        <v>486.98684377638756</v>
      </c>
      <c r="O39" s="603"/>
      <c r="P39" s="600"/>
    </row>
    <row r="40" spans="1:19" ht="15" customHeight="1" x14ac:dyDescent="0.25">
      <c r="A40" s="598"/>
      <c r="B40" s="345" t="s">
        <v>349</v>
      </c>
      <c r="C40" s="345"/>
      <c r="D40" s="345"/>
      <c r="E40" s="345"/>
      <c r="F40" s="345" t="s">
        <v>78</v>
      </c>
      <c r="G40" s="346">
        <v>12</v>
      </c>
      <c r="H40" s="345">
        <v>551.02</v>
      </c>
      <c r="I40" s="345">
        <v>6612.27</v>
      </c>
      <c r="J40" s="348">
        <v>0.2</v>
      </c>
      <c r="K40" s="345">
        <v>1322.46</v>
      </c>
      <c r="L40" s="345">
        <v>7934.73</v>
      </c>
      <c r="M40" s="600"/>
      <c r="N40" s="349">
        <f>(H40+H40/100*O14)+((H40+H40/100*O14)/100*20)</f>
        <v>678.55027223401885</v>
      </c>
      <c r="O40" s="603"/>
      <c r="P40" s="600"/>
    </row>
    <row r="41" spans="1:19" ht="15" customHeight="1" x14ac:dyDescent="0.25">
      <c r="A41" s="598"/>
      <c r="B41" s="345" t="s">
        <v>350</v>
      </c>
      <c r="C41" s="345"/>
      <c r="D41" s="345"/>
      <c r="E41" s="345"/>
      <c r="F41" s="345" t="s">
        <v>78</v>
      </c>
      <c r="G41" s="346">
        <v>31</v>
      </c>
      <c r="H41" s="345">
        <v>96.05</v>
      </c>
      <c r="I41" s="345">
        <v>2977.52</v>
      </c>
      <c r="J41" s="348">
        <v>0.2</v>
      </c>
      <c r="K41" s="345">
        <v>595.51</v>
      </c>
      <c r="L41" s="345">
        <v>3573.03</v>
      </c>
      <c r="M41" s="600"/>
      <c r="N41" s="349">
        <f>(H41+H41/100*O14)+((H41+H41/100*O14)/100*20)</f>
        <v>118.28019608739703</v>
      </c>
      <c r="O41" s="603"/>
      <c r="P41" s="600"/>
    </row>
    <row r="42" spans="1:19" ht="15" customHeight="1" x14ac:dyDescent="0.25">
      <c r="A42" s="598"/>
      <c r="B42" s="345" t="s">
        <v>351</v>
      </c>
      <c r="C42" s="345"/>
      <c r="D42" s="345"/>
      <c r="E42" s="345"/>
      <c r="F42" s="345" t="s">
        <v>78</v>
      </c>
      <c r="G42" s="346">
        <v>5</v>
      </c>
      <c r="H42" s="345">
        <v>144.81</v>
      </c>
      <c r="I42" s="345">
        <v>724.07</v>
      </c>
      <c r="J42" s="348">
        <v>0.2</v>
      </c>
      <c r="K42" s="345">
        <v>144.82</v>
      </c>
      <c r="L42" s="345">
        <v>868.89</v>
      </c>
      <c r="M42" s="600"/>
      <c r="N42" s="349">
        <f>(H42+H42/100*O14)+((H42+H42/100*O14)/100*20)</f>
        <v>178.32540547023387</v>
      </c>
      <c r="O42" s="603"/>
      <c r="P42" s="600"/>
    </row>
    <row r="43" spans="1:19" ht="15" customHeight="1" x14ac:dyDescent="0.25">
      <c r="A43" s="598"/>
      <c r="B43" s="345" t="s">
        <v>352</v>
      </c>
      <c r="C43" s="345"/>
      <c r="D43" s="345"/>
      <c r="E43" s="345"/>
      <c r="F43" s="345" t="s">
        <v>78</v>
      </c>
      <c r="G43" s="346">
        <v>8</v>
      </c>
      <c r="H43" s="345">
        <v>197.73</v>
      </c>
      <c r="I43" s="345">
        <v>1581.85</v>
      </c>
      <c r="J43" s="348">
        <v>0.2</v>
      </c>
      <c r="K43" s="345">
        <v>316.37</v>
      </c>
      <c r="L43" s="345">
        <v>1898.22</v>
      </c>
      <c r="M43" s="600"/>
      <c r="N43" s="349">
        <f>(H43+H43/100*O14)+((H43+H43/100*O14)/100*20)</f>
        <v>243.49342188819378</v>
      </c>
      <c r="O43" s="603"/>
      <c r="P43" s="600"/>
    </row>
    <row r="44" spans="1:19" ht="15" customHeight="1" x14ac:dyDescent="0.25">
      <c r="A44" s="598"/>
      <c r="B44" s="345" t="s">
        <v>353</v>
      </c>
      <c r="C44" s="345"/>
      <c r="D44" s="345"/>
      <c r="E44" s="345"/>
      <c r="F44" s="345" t="s">
        <v>78</v>
      </c>
      <c r="G44" s="346">
        <v>2</v>
      </c>
      <c r="H44" s="345">
        <v>319.56</v>
      </c>
      <c r="I44" s="345">
        <v>639.11</v>
      </c>
      <c r="J44" s="348">
        <v>0.2</v>
      </c>
      <c r="K44" s="345">
        <v>127.82</v>
      </c>
      <c r="L44" s="345">
        <v>766.93</v>
      </c>
      <c r="M44" s="600"/>
      <c r="N44" s="349">
        <f>(H44+H44/100*O14)+((H44+H44/100*O14)/100*20)</f>
        <v>393.52024426536792</v>
      </c>
      <c r="O44" s="603"/>
      <c r="P44" s="600"/>
    </row>
    <row r="45" spans="1:19" ht="15" customHeight="1" x14ac:dyDescent="0.25">
      <c r="A45" s="598"/>
      <c r="B45" s="345" t="s">
        <v>354</v>
      </c>
      <c r="C45" s="345"/>
      <c r="D45" s="345"/>
      <c r="E45" s="345"/>
      <c r="F45" s="345" t="s">
        <v>78</v>
      </c>
      <c r="G45" s="346">
        <v>2</v>
      </c>
      <c r="H45" s="345">
        <v>556.65</v>
      </c>
      <c r="I45" s="345">
        <v>1113.29</v>
      </c>
      <c r="J45" s="348">
        <v>0.2</v>
      </c>
      <c r="K45" s="345">
        <v>222.66</v>
      </c>
      <c r="L45" s="345">
        <v>1335.95</v>
      </c>
      <c r="M45" s="601"/>
      <c r="N45" s="349">
        <f>(H45+H45/100*O14)+((H45+H45/100*O14)/100*20)</f>
        <v>685.48330194741857</v>
      </c>
      <c r="O45" s="604"/>
      <c r="P45" s="601"/>
      <c r="R45" s="350"/>
      <c r="S45" s="350"/>
    </row>
    <row r="46" spans="1:19" ht="15" customHeight="1" x14ac:dyDescent="0.25">
      <c r="A46" s="586" t="s">
        <v>355</v>
      </c>
      <c r="B46" s="605" t="s">
        <v>356</v>
      </c>
      <c r="C46" s="606"/>
      <c r="D46" s="606"/>
      <c r="E46" s="607"/>
      <c r="F46" s="351" t="s">
        <v>357</v>
      </c>
      <c r="G46" s="351">
        <v>50</v>
      </c>
      <c r="H46" s="352">
        <f>I46/G46</f>
        <v>7251.9256000000005</v>
      </c>
      <c r="I46" s="352">
        <v>362596.28</v>
      </c>
      <c r="J46" s="353">
        <v>0.2</v>
      </c>
      <c r="K46" s="352">
        <f>I46/100*20</f>
        <v>72519.256000000008</v>
      </c>
      <c r="L46" s="352">
        <f>I46+K46</f>
        <v>435115.53600000002</v>
      </c>
      <c r="M46" s="589">
        <f>I46+I47+I48+I49</f>
        <v>1109091.3700000001</v>
      </c>
      <c r="N46" s="352">
        <f>(H46+H46/100*O46)+((H46+H46/100*O46)/100*20)</f>
        <v>10661.365029058976</v>
      </c>
      <c r="O46" s="589">
        <f>P46/((M46)/100)</f>
        <v>22.511886464322593</v>
      </c>
      <c r="P46" s="592">
        <f>J123+J124</f>
        <v>249677.39</v>
      </c>
    </row>
    <row r="47" spans="1:19" x14ac:dyDescent="0.25">
      <c r="A47" s="587"/>
      <c r="B47" s="605" t="s">
        <v>358</v>
      </c>
      <c r="C47" s="606"/>
      <c r="D47" s="606"/>
      <c r="E47" s="607"/>
      <c r="F47" s="351" t="s">
        <v>357</v>
      </c>
      <c r="G47" s="351">
        <v>10</v>
      </c>
      <c r="H47" s="352">
        <f t="shared" ref="H47:H54" si="0">I47/G47</f>
        <v>11104.511999999999</v>
      </c>
      <c r="I47" s="352">
        <v>111045.12</v>
      </c>
      <c r="J47" s="353">
        <v>0.2</v>
      </c>
      <c r="K47" s="352">
        <f t="shared" ref="K47:K54" si="1">I47/100*20</f>
        <v>22209.023999999998</v>
      </c>
      <c r="L47" s="352">
        <f t="shared" ref="L47:L72" si="2">I47+K47</f>
        <v>133254.144</v>
      </c>
      <c r="M47" s="590"/>
      <c r="N47" s="352">
        <f>(H47+H47/100*O46)+((H47+H47/100*O46)/100*20)</f>
        <v>16325.216560628491</v>
      </c>
      <c r="O47" s="590"/>
      <c r="P47" s="593"/>
      <c r="Q47">
        <f>H48*1.2*1.2</f>
        <v>21190.126319999996</v>
      </c>
    </row>
    <row r="48" spans="1:19" x14ac:dyDescent="0.25">
      <c r="A48" s="587"/>
      <c r="B48" s="605" t="s">
        <v>359</v>
      </c>
      <c r="C48" s="606"/>
      <c r="D48" s="606"/>
      <c r="E48" s="607"/>
      <c r="F48" s="351" t="s">
        <v>357</v>
      </c>
      <c r="G48" s="351">
        <v>40</v>
      </c>
      <c r="H48" s="352">
        <f t="shared" si="0"/>
        <v>14715.3655</v>
      </c>
      <c r="I48" s="352">
        <v>588614.62</v>
      </c>
      <c r="J48" s="353">
        <v>0.2</v>
      </c>
      <c r="K48" s="352">
        <f t="shared" si="1"/>
        <v>117722.924</v>
      </c>
      <c r="L48" s="352">
        <f t="shared" si="2"/>
        <v>706337.54399999999</v>
      </c>
      <c r="M48" s="590"/>
      <c r="N48" s="352">
        <f>(H48+H48/100*O46)+((H48+H48/100*O46)/100*20)</f>
        <v>21633.686249004113</v>
      </c>
      <c r="O48" s="590"/>
      <c r="P48" s="593"/>
    </row>
    <row r="49" spans="1:17" x14ac:dyDescent="0.25">
      <c r="A49" s="588"/>
      <c r="B49" s="605" t="s">
        <v>360</v>
      </c>
      <c r="C49" s="606"/>
      <c r="D49" s="606"/>
      <c r="E49" s="607"/>
      <c r="F49" s="351" t="s">
        <v>357</v>
      </c>
      <c r="G49" s="351">
        <v>10</v>
      </c>
      <c r="H49" s="352">
        <f t="shared" si="0"/>
        <v>4683.5349999999999</v>
      </c>
      <c r="I49" s="352">
        <v>46835.35</v>
      </c>
      <c r="J49" s="353">
        <v>0.2</v>
      </c>
      <c r="K49" s="352">
        <f t="shared" si="1"/>
        <v>9367.07</v>
      </c>
      <c r="L49" s="352">
        <f t="shared" si="2"/>
        <v>56202.42</v>
      </c>
      <c r="M49" s="591"/>
      <c r="N49" s="352">
        <f>(H49+H49/100*O46)+((H49+H49/100*O46)/100*20)</f>
        <v>6885.4644980601734</v>
      </c>
      <c r="O49" s="591"/>
      <c r="P49" s="594"/>
    </row>
    <row r="50" spans="1:17" x14ac:dyDescent="0.25">
      <c r="A50" s="568" t="s">
        <v>361</v>
      </c>
      <c r="B50" s="583" t="s">
        <v>362</v>
      </c>
      <c r="C50" s="584"/>
      <c r="D50" s="584"/>
      <c r="E50" s="585"/>
      <c r="F50" s="354" t="s">
        <v>357</v>
      </c>
      <c r="G50" s="354">
        <v>3</v>
      </c>
      <c r="H50" s="355">
        <f>1020*65</f>
        <v>66300</v>
      </c>
      <c r="I50" s="355">
        <v>46797.4</v>
      </c>
      <c r="J50" s="356">
        <v>0.2</v>
      </c>
      <c r="K50" s="355">
        <f t="shared" si="1"/>
        <v>9359.48</v>
      </c>
      <c r="L50" s="355">
        <f t="shared" si="2"/>
        <v>56156.880000000005</v>
      </c>
      <c r="M50" s="571">
        <f>I50+I51+I52+I53+I54</f>
        <v>496089.82</v>
      </c>
      <c r="N50" s="355">
        <f>(H50+H50/100*O50)+((H50+H50/100*O50)/100*20)</f>
        <v>102301.59973127447</v>
      </c>
      <c r="O50" s="571">
        <f>P50/(M50/100)</f>
        <v>28.58421283468385</v>
      </c>
      <c r="P50" s="571">
        <f>J133+J132</f>
        <v>141803.37</v>
      </c>
    </row>
    <row r="51" spans="1:17" x14ac:dyDescent="0.25">
      <c r="A51" s="569"/>
      <c r="B51" s="583" t="s">
        <v>363</v>
      </c>
      <c r="C51" s="584"/>
      <c r="D51" s="584"/>
      <c r="E51" s="585"/>
      <c r="F51" s="354" t="s">
        <v>357</v>
      </c>
      <c r="G51" s="354">
        <v>2</v>
      </c>
      <c r="H51" s="355">
        <f t="shared" si="0"/>
        <v>77729.77</v>
      </c>
      <c r="I51" s="355">
        <v>155459.54</v>
      </c>
      <c r="J51" s="356">
        <v>0.2</v>
      </c>
      <c r="K51" s="355">
        <f t="shared" si="1"/>
        <v>31091.908000000003</v>
      </c>
      <c r="L51" s="355">
        <f t="shared" si="2"/>
        <v>186551.448</v>
      </c>
      <c r="M51" s="572"/>
      <c r="N51" s="355">
        <f>(H51+H51/100*O50)+((H51+H51/100*O50)/100*20)</f>
        <v>119937.85547125229</v>
      </c>
      <c r="O51" s="574"/>
      <c r="P51" s="572"/>
    </row>
    <row r="52" spans="1:17" x14ac:dyDescent="0.25">
      <c r="A52" s="569"/>
      <c r="B52" s="583" t="s">
        <v>364</v>
      </c>
      <c r="C52" s="584"/>
      <c r="D52" s="584"/>
      <c r="E52" s="585"/>
      <c r="F52" s="354" t="s">
        <v>357</v>
      </c>
      <c r="G52" s="354">
        <v>2</v>
      </c>
      <c r="H52" s="355">
        <f t="shared" si="0"/>
        <v>25555.395</v>
      </c>
      <c r="I52" s="355">
        <v>51110.79</v>
      </c>
      <c r="J52" s="356">
        <v>0.2</v>
      </c>
      <c r="K52" s="355">
        <f t="shared" si="1"/>
        <v>10222.158000000001</v>
      </c>
      <c r="L52" s="355">
        <f t="shared" si="2"/>
        <v>61332.948000000004</v>
      </c>
      <c r="M52" s="572"/>
      <c r="N52" s="355">
        <f>(H52+H52/100*O50)+((H52+H52/100*O50)/100*20)</f>
        <v>39432.244197052991</v>
      </c>
      <c r="O52" s="574"/>
      <c r="P52" s="572"/>
      <c r="Q52" s="350"/>
    </row>
    <row r="53" spans="1:17" x14ac:dyDescent="0.25">
      <c r="A53" s="569"/>
      <c r="B53" s="583" t="s">
        <v>365</v>
      </c>
      <c r="C53" s="584"/>
      <c r="D53" s="584"/>
      <c r="E53" s="585"/>
      <c r="F53" s="354" t="s">
        <v>357</v>
      </c>
      <c r="G53" s="354">
        <v>3</v>
      </c>
      <c r="H53" s="355">
        <f t="shared" si="0"/>
        <v>39756.120000000003</v>
      </c>
      <c r="I53" s="355">
        <v>119268.36</v>
      </c>
      <c r="J53" s="356">
        <v>0.2</v>
      </c>
      <c r="K53" s="355">
        <f t="shared" si="1"/>
        <v>23853.672000000002</v>
      </c>
      <c r="L53" s="355">
        <f t="shared" si="2"/>
        <v>143122.03200000001</v>
      </c>
      <c r="M53" s="572"/>
      <c r="N53" s="355">
        <f>(H53+H53/100*O50)+((H53+H53/100*O50)/100*20)</f>
        <v>61344.112746734783</v>
      </c>
      <c r="O53" s="574"/>
      <c r="P53" s="572"/>
    </row>
    <row r="54" spans="1:17" x14ac:dyDescent="0.25">
      <c r="A54" s="570"/>
      <c r="B54" s="583" t="s">
        <v>366</v>
      </c>
      <c r="C54" s="584"/>
      <c r="D54" s="584"/>
      <c r="E54" s="585"/>
      <c r="F54" s="354" t="s">
        <v>357</v>
      </c>
      <c r="G54" s="354">
        <v>2</v>
      </c>
      <c r="H54" s="355">
        <f t="shared" si="0"/>
        <v>61726.864999999998</v>
      </c>
      <c r="I54" s="355">
        <v>123453.73</v>
      </c>
      <c r="J54" s="356">
        <v>0.2</v>
      </c>
      <c r="K54" s="355">
        <f t="shared" si="1"/>
        <v>24690.745999999999</v>
      </c>
      <c r="L54" s="355">
        <f t="shared" si="2"/>
        <v>148144.476</v>
      </c>
      <c r="M54" s="573"/>
      <c r="N54" s="355">
        <f>(H54+H54/100*O50)+((H54+H54/100*O50)/100*20)</f>
        <v>95245.204161333575</v>
      </c>
      <c r="O54" s="575"/>
      <c r="P54" s="573"/>
    </row>
    <row r="55" spans="1:17" x14ac:dyDescent="0.25">
      <c r="A55" s="576"/>
      <c r="B55" s="565" t="s">
        <v>367</v>
      </c>
      <c r="C55" s="566"/>
      <c r="D55" s="566"/>
      <c r="E55" s="567"/>
      <c r="F55" s="357"/>
      <c r="G55" s="357">
        <v>1</v>
      </c>
      <c r="H55" s="357">
        <f>I55/G55</f>
        <v>11428.33</v>
      </c>
      <c r="I55" s="357">
        <v>11428.33</v>
      </c>
      <c r="J55" s="358">
        <v>0.2</v>
      </c>
      <c r="K55" s="359">
        <f>I55/100*20</f>
        <v>2285.6660000000002</v>
      </c>
      <c r="L55" s="359">
        <f t="shared" si="2"/>
        <v>13713.995999999999</v>
      </c>
      <c r="M55" s="577">
        <f>SUM(I55:I70)</f>
        <v>287486.67</v>
      </c>
      <c r="N55" s="359">
        <f>(H55+H55/100*O55)+((H55+H55/100*O55)/100*20)</f>
        <v>15224.59313481672</v>
      </c>
      <c r="O55" s="580">
        <f>P55/(M55/100)</f>
        <v>11.015003466653486</v>
      </c>
      <c r="P55" s="580">
        <f>K116</f>
        <v>31666.666666666668</v>
      </c>
    </row>
    <row r="56" spans="1:17" x14ac:dyDescent="0.25">
      <c r="A56" s="576"/>
      <c r="B56" s="565" t="s">
        <v>368</v>
      </c>
      <c r="C56" s="566"/>
      <c r="D56" s="566"/>
      <c r="E56" s="567"/>
      <c r="F56" s="357"/>
      <c r="G56" s="357">
        <v>1</v>
      </c>
      <c r="H56" s="359">
        <f t="shared" ref="H56:H70" si="3">I56/G56</f>
        <v>10621.67</v>
      </c>
      <c r="I56" s="359">
        <v>10621.67</v>
      </c>
      <c r="J56" s="358">
        <v>0.2</v>
      </c>
      <c r="K56" s="359">
        <f t="shared" ref="K56:K70" si="4">I56/100*20</f>
        <v>2124.3339999999998</v>
      </c>
      <c r="L56" s="359">
        <f t="shared" si="2"/>
        <v>12746.004000000001</v>
      </c>
      <c r="M56" s="578"/>
      <c r="N56" s="359">
        <f>(H56+H56/100*O55)+((H56+H56/100*O55)/100*20)</f>
        <v>14149.976782459793</v>
      </c>
      <c r="O56" s="581"/>
      <c r="P56" s="578"/>
    </row>
    <row r="57" spans="1:17" x14ac:dyDescent="0.25">
      <c r="A57" s="576"/>
      <c r="B57" s="565" t="s">
        <v>369</v>
      </c>
      <c r="C57" s="566"/>
      <c r="D57" s="566"/>
      <c r="E57" s="567"/>
      <c r="F57" s="357"/>
      <c r="G57" s="357">
        <v>1</v>
      </c>
      <c r="H57" s="359">
        <f t="shared" si="3"/>
        <v>19810</v>
      </c>
      <c r="I57" s="359">
        <v>19810</v>
      </c>
      <c r="J57" s="358">
        <v>0.2</v>
      </c>
      <c r="K57" s="359">
        <f t="shared" si="4"/>
        <v>3962</v>
      </c>
      <c r="L57" s="359">
        <f t="shared" si="2"/>
        <v>23772</v>
      </c>
      <c r="M57" s="578"/>
      <c r="N57" s="359">
        <f>(H57+H57/100*O55)+((H57+H57/100*O55)/100*20)</f>
        <v>26390.486624092868</v>
      </c>
      <c r="O57" s="581"/>
      <c r="P57" s="578"/>
    </row>
    <row r="58" spans="1:17" x14ac:dyDescent="0.25">
      <c r="A58" s="576"/>
      <c r="B58" s="565" t="s">
        <v>370</v>
      </c>
      <c r="C58" s="566"/>
      <c r="D58" s="566"/>
      <c r="E58" s="567"/>
      <c r="F58" s="357"/>
      <c r="G58" s="357">
        <v>1</v>
      </c>
      <c r="H58" s="359">
        <f t="shared" si="3"/>
        <v>18416.669999999998</v>
      </c>
      <c r="I58" s="359">
        <v>18416.669999999998</v>
      </c>
      <c r="J58" s="358">
        <v>0.2</v>
      </c>
      <c r="K58" s="359">
        <f t="shared" si="4"/>
        <v>3683.3339999999998</v>
      </c>
      <c r="L58" s="359">
        <f t="shared" si="2"/>
        <v>22100.003999999997</v>
      </c>
      <c r="M58" s="578"/>
      <c r="N58" s="359">
        <f>(H58+H58/100*O55)+((H58+H58/100*O55)/100*20)</f>
        <v>24534.320206730557</v>
      </c>
      <c r="O58" s="581"/>
      <c r="P58" s="578"/>
    </row>
    <row r="59" spans="1:17" x14ac:dyDescent="0.25">
      <c r="A59" s="576"/>
      <c r="B59" s="565" t="s">
        <v>371</v>
      </c>
      <c r="C59" s="566"/>
      <c r="D59" s="566"/>
      <c r="E59" s="567"/>
      <c r="F59" s="357"/>
      <c r="G59" s="357">
        <v>1</v>
      </c>
      <c r="H59" s="359">
        <f t="shared" si="3"/>
        <v>3090</v>
      </c>
      <c r="I59" s="359">
        <v>3090</v>
      </c>
      <c r="J59" s="358">
        <v>0.2</v>
      </c>
      <c r="K59" s="359">
        <f t="shared" si="4"/>
        <v>618</v>
      </c>
      <c r="L59" s="359">
        <f t="shared" si="2"/>
        <v>3708</v>
      </c>
      <c r="M59" s="578"/>
      <c r="N59" s="359">
        <f>(H59+H59/100*O55)+((H59+H59/100*O55)/100*20)</f>
        <v>4116.436328543512</v>
      </c>
      <c r="O59" s="581"/>
      <c r="P59" s="578"/>
    </row>
    <row r="60" spans="1:17" x14ac:dyDescent="0.25">
      <c r="A60" s="576"/>
      <c r="B60" s="565" t="s">
        <v>372</v>
      </c>
      <c r="C60" s="566"/>
      <c r="D60" s="566"/>
      <c r="E60" s="567"/>
      <c r="F60" s="357"/>
      <c r="G60" s="357">
        <v>1</v>
      </c>
      <c r="H60" s="359">
        <f t="shared" si="3"/>
        <v>2870</v>
      </c>
      <c r="I60" s="359">
        <v>2870</v>
      </c>
      <c r="J60" s="358">
        <v>0.2</v>
      </c>
      <c r="K60" s="359">
        <f t="shared" si="4"/>
        <v>574</v>
      </c>
      <c r="L60" s="359">
        <f t="shared" si="2"/>
        <v>3444</v>
      </c>
      <c r="M60" s="578"/>
      <c r="N60" s="359">
        <f>(H60+H60/100*O55)+((H60+H60/100*O55)/100*20)</f>
        <v>3823.356719391546</v>
      </c>
      <c r="O60" s="581"/>
      <c r="P60" s="578"/>
    </row>
    <row r="61" spans="1:17" x14ac:dyDescent="0.25">
      <c r="A61" s="576"/>
      <c r="B61" s="565" t="s">
        <v>373</v>
      </c>
      <c r="C61" s="566"/>
      <c r="D61" s="566"/>
      <c r="E61" s="567"/>
      <c r="F61" s="357"/>
      <c r="G61" s="357">
        <v>1</v>
      </c>
      <c r="H61" s="359">
        <f t="shared" si="3"/>
        <v>37913.33</v>
      </c>
      <c r="I61" s="359">
        <v>37913.33</v>
      </c>
      <c r="J61" s="358">
        <v>0.2</v>
      </c>
      <c r="K61" s="359">
        <f t="shared" si="4"/>
        <v>7582.6660000000002</v>
      </c>
      <c r="L61" s="359">
        <f t="shared" si="2"/>
        <v>45495.995999999999</v>
      </c>
      <c r="M61" s="578"/>
      <c r="N61" s="359">
        <f>(H61+H61/100*O55)+((H61+H61/100*O55)/100*20)</f>
        <v>50507.381536588531</v>
      </c>
      <c r="O61" s="581"/>
      <c r="P61" s="578"/>
    </row>
    <row r="62" spans="1:17" x14ac:dyDescent="0.25">
      <c r="A62" s="576"/>
      <c r="B62" s="565" t="s">
        <v>374</v>
      </c>
      <c r="C62" s="566"/>
      <c r="D62" s="566"/>
      <c r="E62" s="567"/>
      <c r="F62" s="357"/>
      <c r="G62" s="357">
        <v>1</v>
      </c>
      <c r="H62" s="359">
        <f t="shared" si="3"/>
        <v>35346.67</v>
      </c>
      <c r="I62" s="359">
        <v>35346.67</v>
      </c>
      <c r="J62" s="358">
        <v>0.2</v>
      </c>
      <c r="K62" s="359">
        <f t="shared" si="4"/>
        <v>7069.3339999999998</v>
      </c>
      <c r="L62" s="359">
        <f t="shared" si="2"/>
        <v>42416.004000000001</v>
      </c>
      <c r="M62" s="578"/>
      <c r="N62" s="359">
        <f>(H62+H62/100*O55)+((H62+H62/100*O55)/100*20)</f>
        <v>47088.128311015877</v>
      </c>
      <c r="O62" s="581"/>
      <c r="P62" s="578"/>
      <c r="Q62" s="350"/>
    </row>
    <row r="63" spans="1:17" x14ac:dyDescent="0.25">
      <c r="A63" s="576"/>
      <c r="B63" s="565" t="s">
        <v>375</v>
      </c>
      <c r="C63" s="566"/>
      <c r="D63" s="566"/>
      <c r="E63" s="567"/>
      <c r="F63" s="357"/>
      <c r="G63" s="357">
        <v>1</v>
      </c>
      <c r="H63" s="359">
        <f t="shared" si="3"/>
        <v>4628.33</v>
      </c>
      <c r="I63" s="359">
        <v>4628.33</v>
      </c>
      <c r="J63" s="358">
        <v>0.2</v>
      </c>
      <c r="K63" s="359">
        <f t="shared" si="4"/>
        <v>925.66599999999994</v>
      </c>
      <c r="L63" s="359">
        <f t="shared" si="2"/>
        <v>5553.9960000000001</v>
      </c>
      <c r="M63" s="578"/>
      <c r="N63" s="359">
        <f>(H63+H63/100*O55)+((H63+H63/100*O55)/100*20)</f>
        <v>6165.7688519377953</v>
      </c>
      <c r="O63" s="581"/>
      <c r="P63" s="578"/>
    </row>
    <row r="64" spans="1:17" x14ac:dyDescent="0.25">
      <c r="A64" s="576"/>
      <c r="B64" s="565" t="s">
        <v>376</v>
      </c>
      <c r="C64" s="566"/>
      <c r="D64" s="566"/>
      <c r="E64" s="567"/>
      <c r="F64" s="357"/>
      <c r="G64" s="357">
        <v>1</v>
      </c>
      <c r="H64" s="359">
        <f t="shared" si="3"/>
        <v>4261.67</v>
      </c>
      <c r="I64" s="359">
        <v>4261.67</v>
      </c>
      <c r="J64" s="358">
        <v>0.2</v>
      </c>
      <c r="K64" s="359">
        <f t="shared" si="4"/>
        <v>852.33400000000006</v>
      </c>
      <c r="L64" s="359">
        <f t="shared" si="2"/>
        <v>5114.0039999999999</v>
      </c>
      <c r="M64" s="578"/>
      <c r="N64" s="359">
        <f>(H64+H64/100*O55)+((H64+H64/100*O55)/100*20)</f>
        <v>5677.3117178847988</v>
      </c>
      <c r="O64" s="581"/>
      <c r="P64" s="578"/>
    </row>
    <row r="65" spans="1:18" x14ac:dyDescent="0.25">
      <c r="A65" s="576"/>
      <c r="B65" s="565" t="s">
        <v>377</v>
      </c>
      <c r="C65" s="566"/>
      <c r="D65" s="566"/>
      <c r="E65" s="567"/>
      <c r="F65" s="357"/>
      <c r="G65" s="357">
        <v>1</v>
      </c>
      <c r="H65" s="359">
        <f t="shared" si="3"/>
        <v>55886.67</v>
      </c>
      <c r="I65" s="359">
        <v>55886.67</v>
      </c>
      <c r="J65" s="358">
        <v>0.2</v>
      </c>
      <c r="K65" s="359">
        <f t="shared" si="4"/>
        <v>11177.334000000001</v>
      </c>
      <c r="L65" s="359">
        <f t="shared" si="2"/>
        <v>67064.004000000001</v>
      </c>
      <c r="M65" s="578"/>
      <c r="N65" s="359">
        <f>(H65+H65/100*O55)+((H65+H65/100*O55)/100*20)</f>
        <v>74451.106365476633</v>
      </c>
      <c r="O65" s="581"/>
      <c r="P65" s="578"/>
    </row>
    <row r="66" spans="1:18" x14ac:dyDescent="0.25">
      <c r="A66" s="576"/>
      <c r="B66" s="565" t="s">
        <v>378</v>
      </c>
      <c r="C66" s="566"/>
      <c r="D66" s="566"/>
      <c r="E66" s="567"/>
      <c r="F66" s="357"/>
      <c r="G66" s="357">
        <v>1</v>
      </c>
      <c r="H66" s="359">
        <f t="shared" si="3"/>
        <v>52073.33</v>
      </c>
      <c r="I66" s="359">
        <v>52073.33</v>
      </c>
      <c r="J66" s="358">
        <v>0.2</v>
      </c>
      <c r="K66" s="359">
        <f t="shared" si="4"/>
        <v>10414.665999999999</v>
      </c>
      <c r="L66" s="359">
        <f t="shared" si="2"/>
        <v>62487.995999999999</v>
      </c>
      <c r="M66" s="578"/>
      <c r="N66" s="359">
        <f>(H66+H66/100*O55)+((H66+H66/100*O55)/100*20)</f>
        <v>69371.050925642296</v>
      </c>
      <c r="O66" s="581"/>
      <c r="P66" s="578"/>
    </row>
    <row r="67" spans="1:18" x14ac:dyDescent="0.25">
      <c r="A67" s="576"/>
      <c r="B67" s="565" t="s">
        <v>379</v>
      </c>
      <c r="C67" s="566"/>
      <c r="D67" s="566"/>
      <c r="E67" s="567"/>
      <c r="F67" s="357"/>
      <c r="G67" s="357">
        <v>1</v>
      </c>
      <c r="H67" s="359">
        <f t="shared" si="3"/>
        <v>7151.67</v>
      </c>
      <c r="I67" s="359">
        <v>7151.67</v>
      </c>
      <c r="J67" s="358">
        <v>0.2</v>
      </c>
      <c r="K67" s="359">
        <f t="shared" si="4"/>
        <v>1430.3340000000001</v>
      </c>
      <c r="L67" s="359">
        <f t="shared" si="2"/>
        <v>8582.0040000000008</v>
      </c>
      <c r="M67" s="578"/>
      <c r="N67" s="359">
        <f>(H67+H67/100*O55)+((H67+H67/100*O55)/100*20)</f>
        <v>9527.3120381083409</v>
      </c>
      <c r="O67" s="581"/>
      <c r="P67" s="578"/>
    </row>
    <row r="68" spans="1:18" x14ac:dyDescent="0.25">
      <c r="A68" s="576"/>
      <c r="B68" s="565" t="s">
        <v>380</v>
      </c>
      <c r="C68" s="566"/>
      <c r="D68" s="566"/>
      <c r="E68" s="567"/>
      <c r="F68" s="357"/>
      <c r="G68" s="357">
        <v>1</v>
      </c>
      <c r="H68" s="359">
        <f t="shared" si="3"/>
        <v>6638.33</v>
      </c>
      <c r="I68" s="359">
        <v>6638.33</v>
      </c>
      <c r="J68" s="358">
        <v>0.2</v>
      </c>
      <c r="K68" s="359">
        <f t="shared" si="4"/>
        <v>1327.6660000000002</v>
      </c>
      <c r="L68" s="359">
        <f t="shared" si="2"/>
        <v>7965.9960000000001</v>
      </c>
      <c r="M68" s="578"/>
      <c r="N68" s="359">
        <f>(H68+H68/100*O55)+((H68+H68/100*O55)/100*20)</f>
        <v>8843.450735553477</v>
      </c>
      <c r="O68" s="581"/>
      <c r="P68" s="578"/>
    </row>
    <row r="69" spans="1:18" x14ac:dyDescent="0.25">
      <c r="A69" s="576"/>
      <c r="B69" s="565" t="s">
        <v>381</v>
      </c>
      <c r="C69" s="566"/>
      <c r="D69" s="566"/>
      <c r="E69" s="567"/>
      <c r="F69" s="357"/>
      <c r="G69" s="357">
        <v>1</v>
      </c>
      <c r="H69" s="359">
        <f t="shared" si="3"/>
        <v>9005</v>
      </c>
      <c r="I69" s="359">
        <v>9005</v>
      </c>
      <c r="J69" s="358">
        <v>0.2</v>
      </c>
      <c r="K69" s="359">
        <f t="shared" si="4"/>
        <v>1801</v>
      </c>
      <c r="L69" s="359">
        <f t="shared" si="2"/>
        <v>10806</v>
      </c>
      <c r="M69" s="578"/>
      <c r="N69" s="359">
        <f>(H69+H69/100*O55)+((H69+H69/100*O55)/100*20)</f>
        <v>11996.281274606576</v>
      </c>
      <c r="O69" s="581"/>
      <c r="P69" s="578"/>
    </row>
    <row r="70" spans="1:18" x14ac:dyDescent="0.25">
      <c r="A70" s="576"/>
      <c r="B70" s="565" t="s">
        <v>382</v>
      </c>
      <c r="C70" s="566"/>
      <c r="D70" s="566"/>
      <c r="E70" s="567"/>
      <c r="F70" s="357"/>
      <c r="G70" s="357">
        <v>1</v>
      </c>
      <c r="H70" s="359">
        <f t="shared" si="3"/>
        <v>8345</v>
      </c>
      <c r="I70" s="359">
        <v>8345</v>
      </c>
      <c r="J70" s="358">
        <v>0.2</v>
      </c>
      <c r="K70" s="359">
        <f t="shared" si="4"/>
        <v>1669</v>
      </c>
      <c r="L70" s="359">
        <f t="shared" si="2"/>
        <v>10014</v>
      </c>
      <c r="M70" s="579"/>
      <c r="N70" s="359">
        <f>(H70+H70/100*O55)+((H70+H70/100*O55)/100*20)</f>
        <v>11117.042447150679</v>
      </c>
      <c r="O70" s="582"/>
      <c r="P70" s="579"/>
    </row>
    <row r="71" spans="1:18" x14ac:dyDescent="0.25">
      <c r="A71" s="549"/>
      <c r="B71" s="360" t="s">
        <v>383</v>
      </c>
      <c r="C71" s="360"/>
      <c r="D71" s="360"/>
      <c r="E71" s="360"/>
      <c r="F71" s="360"/>
      <c r="G71" s="360">
        <v>5</v>
      </c>
      <c r="H71" s="361">
        <f>I71/G71</f>
        <v>891.66599999999994</v>
      </c>
      <c r="I71" s="360">
        <v>4458.33</v>
      </c>
      <c r="J71" s="362">
        <v>0.2</v>
      </c>
      <c r="K71" s="361">
        <f t="shared" ref="K71:K78" si="5">I71/100*20</f>
        <v>891.66600000000005</v>
      </c>
      <c r="L71" s="361">
        <f t="shared" si="2"/>
        <v>5349.9960000000001</v>
      </c>
      <c r="M71" s="550"/>
      <c r="N71" s="361">
        <f>L71/G71</f>
        <v>1069.9992</v>
      </c>
      <c r="O71" s="550"/>
      <c r="P71" s="563"/>
    </row>
    <row r="72" spans="1:18" ht="15.75" thickBot="1" x14ac:dyDescent="0.3">
      <c r="A72" s="549"/>
      <c r="B72" s="360" t="s">
        <v>384</v>
      </c>
      <c r="C72" s="360"/>
      <c r="D72" s="360"/>
      <c r="E72" s="360"/>
      <c r="F72" s="360"/>
      <c r="G72" s="360">
        <v>5</v>
      </c>
      <c r="H72" s="361">
        <f>I72/G72</f>
        <v>1308.3340000000001</v>
      </c>
      <c r="I72" s="360">
        <v>6541.67</v>
      </c>
      <c r="J72" s="362">
        <v>0.2</v>
      </c>
      <c r="K72" s="361">
        <f t="shared" si="5"/>
        <v>1308.3340000000001</v>
      </c>
      <c r="L72" s="361">
        <f t="shared" si="2"/>
        <v>7850.0039999999999</v>
      </c>
      <c r="M72" s="551"/>
      <c r="N72" s="361">
        <f>L72/G72</f>
        <v>1570.0008</v>
      </c>
      <c r="O72" s="551"/>
      <c r="P72" s="564"/>
      <c r="Q72" s="4"/>
    </row>
    <row r="73" spans="1:18" ht="15" customHeight="1" x14ac:dyDescent="0.25">
      <c r="A73" s="552"/>
      <c r="B73" s="543" t="s">
        <v>385</v>
      </c>
      <c r="C73" s="543"/>
      <c r="D73" s="543"/>
      <c r="E73" s="543"/>
      <c r="F73" s="553" t="s">
        <v>386</v>
      </c>
      <c r="G73" s="363">
        <v>20</v>
      </c>
      <c r="H73" s="364">
        <f>I73/G73</f>
        <v>455.83350000000002</v>
      </c>
      <c r="I73" s="363">
        <v>9116.67</v>
      </c>
      <c r="J73" s="365">
        <v>0.2</v>
      </c>
      <c r="K73" s="364">
        <f t="shared" si="5"/>
        <v>1823.3340000000001</v>
      </c>
      <c r="L73" s="364">
        <f t="shared" ref="L73:L78" si="6">K73+I73</f>
        <v>10940.004000000001</v>
      </c>
      <c r="M73" s="553">
        <f>I73+I74+I75+I76+I77</f>
        <v>21316.67</v>
      </c>
      <c r="N73" s="364">
        <f>(H73+H73/100*O73)+((H73+H73/100*O73)/100*20)</f>
        <v>675.3035888501347</v>
      </c>
      <c r="O73" s="556">
        <f>P73/(M73/100)</f>
        <v>23.455821195336796</v>
      </c>
      <c r="P73" s="544">
        <f>K118</f>
        <v>5000</v>
      </c>
      <c r="Q73" s="366">
        <f>G73/10</f>
        <v>2</v>
      </c>
      <c r="R73" s="542">
        <f>N73*Q73+N74*Q74+N75*Q75+N76*Q76+N77*Q77</f>
        <v>3158.0003999999999</v>
      </c>
    </row>
    <row r="74" spans="1:18" ht="15" customHeight="1" x14ac:dyDescent="0.25">
      <c r="A74" s="552"/>
      <c r="B74" s="543" t="s">
        <v>387</v>
      </c>
      <c r="C74" s="543"/>
      <c r="D74" s="543"/>
      <c r="E74" s="543"/>
      <c r="F74" s="554"/>
      <c r="G74" s="363">
        <v>40</v>
      </c>
      <c r="H74" s="364">
        <f t="shared" ref="H74:H108" si="7">I74/G74</f>
        <v>50</v>
      </c>
      <c r="I74" s="363">
        <v>2000</v>
      </c>
      <c r="J74" s="365">
        <v>0.2</v>
      </c>
      <c r="K74" s="364">
        <f t="shared" si="5"/>
        <v>400</v>
      </c>
      <c r="L74" s="364">
        <f t="shared" si="6"/>
        <v>2400</v>
      </c>
      <c r="M74" s="554"/>
      <c r="N74" s="364">
        <f>(H74+H74/100*O73)+((H74+H74/100*O73)/100*20)</f>
        <v>74.073492717202072</v>
      </c>
      <c r="O74" s="557"/>
      <c r="P74" s="545"/>
      <c r="Q74" s="367">
        <f>G74/10</f>
        <v>4</v>
      </c>
      <c r="R74" s="542"/>
    </row>
    <row r="75" spans="1:18" ht="15" customHeight="1" x14ac:dyDescent="0.25">
      <c r="A75" s="552"/>
      <c r="B75" s="543" t="s">
        <v>388</v>
      </c>
      <c r="C75" s="543"/>
      <c r="D75" s="543"/>
      <c r="E75" s="543"/>
      <c r="F75" s="554"/>
      <c r="G75" s="363">
        <v>40</v>
      </c>
      <c r="H75" s="364">
        <f t="shared" si="7"/>
        <v>85.833249999999992</v>
      </c>
      <c r="I75" s="363">
        <v>3433.33</v>
      </c>
      <c r="J75" s="365">
        <v>0.2</v>
      </c>
      <c r="K75" s="364">
        <f t="shared" si="5"/>
        <v>686.66600000000005</v>
      </c>
      <c r="L75" s="364">
        <f t="shared" si="6"/>
        <v>4119.9960000000001</v>
      </c>
      <c r="M75" s="554"/>
      <c r="N75" s="364">
        <f>(H75+H75/100*O73)+((H75+H75/100*O73)/100*20)</f>
        <v>127.15937237537568</v>
      </c>
      <c r="O75" s="557"/>
      <c r="P75" s="545"/>
      <c r="Q75" s="367">
        <f>G75/10</f>
        <v>4</v>
      </c>
      <c r="R75" s="542"/>
    </row>
    <row r="76" spans="1:18" x14ac:dyDescent="0.25">
      <c r="A76" s="552"/>
      <c r="B76" s="543" t="s">
        <v>389</v>
      </c>
      <c r="C76" s="543"/>
      <c r="D76" s="543"/>
      <c r="E76" s="543"/>
      <c r="F76" s="554"/>
      <c r="G76" s="363">
        <v>160</v>
      </c>
      <c r="H76" s="364">
        <f t="shared" si="7"/>
        <v>16.666687500000002</v>
      </c>
      <c r="I76" s="363">
        <v>2666.67</v>
      </c>
      <c r="J76" s="365">
        <v>0.2</v>
      </c>
      <c r="K76" s="364">
        <f t="shared" si="5"/>
        <v>533.33400000000006</v>
      </c>
      <c r="L76" s="364">
        <f t="shared" si="6"/>
        <v>3200.0039999999999</v>
      </c>
      <c r="M76" s="554"/>
      <c r="N76" s="364">
        <f>(H76+H76/100*O73)+((H76+H76/100*O73)/100*20)</f>
        <v>24.691195103022661</v>
      </c>
      <c r="O76" s="557"/>
      <c r="P76" s="545"/>
      <c r="Q76" s="367">
        <f>G76/10</f>
        <v>16</v>
      </c>
      <c r="R76" s="542"/>
    </row>
    <row r="77" spans="1:18" ht="15.75" thickBot="1" x14ac:dyDescent="0.3">
      <c r="A77" s="552"/>
      <c r="B77" s="543" t="s">
        <v>390</v>
      </c>
      <c r="C77" s="543"/>
      <c r="D77" s="543"/>
      <c r="E77" s="543"/>
      <c r="F77" s="555"/>
      <c r="G77" s="363">
        <v>60</v>
      </c>
      <c r="H77" s="364">
        <f t="shared" si="7"/>
        <v>68.333333333333329</v>
      </c>
      <c r="I77" s="363">
        <v>4100</v>
      </c>
      <c r="J77" s="365">
        <v>0.2</v>
      </c>
      <c r="K77" s="364">
        <f t="shared" si="5"/>
        <v>820</v>
      </c>
      <c r="L77" s="364">
        <f t="shared" si="6"/>
        <v>4920</v>
      </c>
      <c r="M77" s="555"/>
      <c r="N77" s="364">
        <f>(H77+H77/100*O73)+((H77+H77/100*O73)/100*20)</f>
        <v>101.23377338017617</v>
      </c>
      <c r="O77" s="558"/>
      <c r="P77" s="546"/>
      <c r="Q77" s="10">
        <f>G77/10</f>
        <v>6</v>
      </c>
      <c r="R77" s="542"/>
    </row>
    <row r="78" spans="1:18" x14ac:dyDescent="0.25">
      <c r="A78" s="559"/>
      <c r="B78" s="537" t="s">
        <v>391</v>
      </c>
      <c r="C78" s="537"/>
      <c r="D78" s="537"/>
      <c r="E78" s="537"/>
      <c r="F78" s="368"/>
      <c r="G78" s="369">
        <v>15</v>
      </c>
      <c r="H78" s="370">
        <f t="shared" si="7"/>
        <v>17006.598666666669</v>
      </c>
      <c r="I78" s="371">
        <v>255098.98</v>
      </c>
      <c r="J78" s="372">
        <v>0.2</v>
      </c>
      <c r="K78" s="370">
        <f t="shared" si="5"/>
        <v>51019.796000000002</v>
      </c>
      <c r="L78" s="370">
        <f t="shared" si="6"/>
        <v>306118.77600000001</v>
      </c>
      <c r="M78" s="561">
        <f>SUM(I78:I98)</f>
        <v>3431738.1100000003</v>
      </c>
      <c r="N78" s="370">
        <f>(H78+H78/100*O78)+((H78+H78/100*O78)/100*20)</f>
        <v>21575.837629806494</v>
      </c>
      <c r="O78" s="547">
        <f>P78/(M78/100)</f>
        <v>5.7228728913699065</v>
      </c>
      <c r="P78" s="547">
        <f>K127+J128+J129</f>
        <v>196394.01</v>
      </c>
    </row>
    <row r="79" spans="1:18" x14ac:dyDescent="0.25">
      <c r="A79" s="560"/>
      <c r="B79" s="537" t="s">
        <v>392</v>
      </c>
      <c r="C79" s="537"/>
      <c r="D79" s="537"/>
      <c r="E79" s="537"/>
      <c r="F79" s="368"/>
      <c r="G79" s="369">
        <v>10</v>
      </c>
      <c r="H79" s="370">
        <f t="shared" si="7"/>
        <v>29407.242999999999</v>
      </c>
      <c r="I79" s="371">
        <v>294072.43</v>
      </c>
      <c r="J79" s="372">
        <v>0.2</v>
      </c>
      <c r="K79" s="370">
        <f t="shared" ref="K79:K108" si="8">I79/100*20</f>
        <v>58814.485999999997</v>
      </c>
      <c r="L79" s="370">
        <f t="shared" ref="L79:L108" si="9">K79+I79</f>
        <v>352886.91599999997</v>
      </c>
      <c r="M79" s="562"/>
      <c r="N79" s="370">
        <f>(H79+H79/100*O78)+((H79+H79/100*O78)/100*20)</f>
        <v>37308.21856529553</v>
      </c>
      <c r="O79" s="548"/>
      <c r="P79" s="548"/>
    </row>
    <row r="80" spans="1:18" x14ac:dyDescent="0.25">
      <c r="A80" s="560"/>
      <c r="B80" s="537" t="s">
        <v>393</v>
      </c>
      <c r="C80" s="537"/>
      <c r="D80" s="537"/>
      <c r="E80" s="537"/>
      <c r="F80" s="368"/>
      <c r="G80" s="369">
        <v>5</v>
      </c>
      <c r="H80" s="370">
        <f t="shared" si="7"/>
        <v>47555.487999999998</v>
      </c>
      <c r="I80" s="371">
        <v>237777.44</v>
      </c>
      <c r="J80" s="372">
        <v>0.2</v>
      </c>
      <c r="K80" s="370">
        <f t="shared" si="8"/>
        <v>47555.488000000005</v>
      </c>
      <c r="L80" s="370">
        <f t="shared" si="9"/>
        <v>285332.92800000001</v>
      </c>
      <c r="M80" s="562"/>
      <c r="N80" s="370">
        <f>(H80+H80/100*O78)+((H80+H80/100*O78)/100*20)</f>
        <v>60332.433757332801</v>
      </c>
      <c r="O80" s="548"/>
      <c r="P80" s="548"/>
    </row>
    <row r="81" spans="1:16" x14ac:dyDescent="0.25">
      <c r="A81" s="560"/>
      <c r="B81" s="537" t="s">
        <v>394</v>
      </c>
      <c r="C81" s="537"/>
      <c r="D81" s="537"/>
      <c r="E81" s="537"/>
      <c r="F81" s="368"/>
      <c r="G81" s="369">
        <v>5</v>
      </c>
      <c r="H81" s="370">
        <f t="shared" si="7"/>
        <v>46335.184000000001</v>
      </c>
      <c r="I81" s="371">
        <v>231675.92</v>
      </c>
      <c r="J81" s="372">
        <v>0.2</v>
      </c>
      <c r="K81" s="370">
        <f t="shared" si="8"/>
        <v>46335.184000000001</v>
      </c>
      <c r="L81" s="370">
        <f t="shared" si="9"/>
        <v>278011.10399999999</v>
      </c>
      <c r="M81" s="562"/>
      <c r="N81" s="370">
        <f>(H81+H81/100*O78)+((H81+H81/100*O78)/100*20)</f>
        <v>58784.265221162845</v>
      </c>
      <c r="O81" s="548"/>
      <c r="P81" s="548"/>
    </row>
    <row r="82" spans="1:16" x14ac:dyDescent="0.25">
      <c r="A82" s="560"/>
      <c r="B82" s="537" t="s">
        <v>395</v>
      </c>
      <c r="C82" s="537"/>
      <c r="D82" s="537"/>
      <c r="E82" s="537"/>
      <c r="F82" s="368"/>
      <c r="G82" s="369">
        <v>20</v>
      </c>
      <c r="H82" s="370">
        <f t="shared" si="7"/>
        <v>3401.3199999999997</v>
      </c>
      <c r="I82" s="371">
        <v>68026.399999999994</v>
      </c>
      <c r="J82" s="372">
        <v>0.2</v>
      </c>
      <c r="K82" s="370">
        <f t="shared" si="8"/>
        <v>13605.279999999999</v>
      </c>
      <c r="L82" s="370">
        <f t="shared" si="9"/>
        <v>81631.679999999993</v>
      </c>
      <c r="M82" s="562"/>
      <c r="N82" s="370">
        <f>(H82+H82/100*O78)+((H82+H82/100*O78)/100*20)</f>
        <v>4315.167864274491</v>
      </c>
      <c r="O82" s="548"/>
      <c r="P82" s="548"/>
    </row>
    <row r="83" spans="1:16" x14ac:dyDescent="0.25">
      <c r="A83" s="560"/>
      <c r="B83" s="537" t="s">
        <v>396</v>
      </c>
      <c r="C83" s="537"/>
      <c r="D83" s="537"/>
      <c r="E83" s="537"/>
      <c r="F83" s="368"/>
      <c r="G83" s="369">
        <v>3</v>
      </c>
      <c r="H83" s="370">
        <f t="shared" si="7"/>
        <v>148729</v>
      </c>
      <c r="I83" s="371">
        <v>446187</v>
      </c>
      <c r="J83" s="372">
        <v>0.2</v>
      </c>
      <c r="K83" s="370">
        <f t="shared" si="8"/>
        <v>89237.4</v>
      </c>
      <c r="L83" s="370">
        <f t="shared" si="9"/>
        <v>535424.4</v>
      </c>
      <c r="M83" s="562"/>
      <c r="N83" s="370">
        <f>(H83+H83/100*O78)+((H83+H83/100*O78)/100*20)</f>
        <v>188688.68594712665</v>
      </c>
      <c r="O83" s="548"/>
      <c r="P83" s="548"/>
    </row>
    <row r="84" spans="1:16" x14ac:dyDescent="0.25">
      <c r="A84" s="560"/>
      <c r="B84" s="537" t="s">
        <v>397</v>
      </c>
      <c r="C84" s="537"/>
      <c r="D84" s="537"/>
      <c r="E84" s="537"/>
      <c r="F84" s="368"/>
      <c r="G84" s="369">
        <v>3</v>
      </c>
      <c r="H84" s="370">
        <f t="shared" si="7"/>
        <v>195379.17</v>
      </c>
      <c r="I84" s="371">
        <v>586137.51</v>
      </c>
      <c r="J84" s="372">
        <v>0.2</v>
      </c>
      <c r="K84" s="370">
        <f t="shared" si="8"/>
        <v>117227.50200000001</v>
      </c>
      <c r="L84" s="370">
        <f t="shared" si="9"/>
        <v>703365.01199999999</v>
      </c>
      <c r="M84" s="562"/>
      <c r="N84" s="370">
        <f>(H84+H84/100*O78)+((H84+H84/100*O78)/100*20)</f>
        <v>247872.56586637624</v>
      </c>
      <c r="O84" s="548"/>
      <c r="P84" s="548"/>
    </row>
    <row r="85" spans="1:16" x14ac:dyDescent="0.25">
      <c r="A85" s="560"/>
      <c r="B85" s="537" t="s">
        <v>398</v>
      </c>
      <c r="C85" s="537"/>
      <c r="D85" s="537"/>
      <c r="E85" s="537"/>
      <c r="F85" s="368"/>
      <c r="G85" s="369">
        <v>6</v>
      </c>
      <c r="H85" s="370">
        <f t="shared" si="7"/>
        <v>2755.6983333333333</v>
      </c>
      <c r="I85" s="371">
        <v>16534.189999999999</v>
      </c>
      <c r="J85" s="372">
        <v>0.2</v>
      </c>
      <c r="K85" s="370">
        <f t="shared" si="8"/>
        <v>3306.8379999999997</v>
      </c>
      <c r="L85" s="370">
        <f t="shared" si="9"/>
        <v>19841.027999999998</v>
      </c>
      <c r="M85" s="562"/>
      <c r="N85" s="370">
        <f>(H85+H85/100*O78)+((H85+H85/100*O78)/100*20)</f>
        <v>3496.084135463519</v>
      </c>
      <c r="O85" s="548"/>
      <c r="P85" s="548"/>
    </row>
    <row r="86" spans="1:16" x14ac:dyDescent="0.25">
      <c r="A86" s="560"/>
      <c r="B86" s="537" t="s">
        <v>399</v>
      </c>
      <c r="C86" s="537"/>
      <c r="D86" s="537"/>
      <c r="E86" s="537"/>
      <c r="F86" s="368"/>
      <c r="G86" s="369">
        <v>6</v>
      </c>
      <c r="H86" s="370">
        <f t="shared" si="7"/>
        <v>590.50833333333333</v>
      </c>
      <c r="I86" s="371">
        <v>3543.05</v>
      </c>
      <c r="J86" s="372">
        <v>0.2</v>
      </c>
      <c r="K86" s="370">
        <f t="shared" si="8"/>
        <v>708.61</v>
      </c>
      <c r="L86" s="370">
        <f t="shared" si="9"/>
        <v>4251.66</v>
      </c>
      <c r="M86" s="562"/>
      <c r="N86" s="370">
        <f>(H86+H86/100*O78)+((H86+H86/100*O78)/100*20)</f>
        <v>749.16284959553627</v>
      </c>
      <c r="O86" s="548"/>
      <c r="P86" s="548"/>
    </row>
    <row r="87" spans="1:16" x14ac:dyDescent="0.25">
      <c r="A87" s="560"/>
      <c r="B87" s="537" t="s">
        <v>400</v>
      </c>
      <c r="C87" s="537"/>
      <c r="D87" s="537"/>
      <c r="E87" s="537"/>
      <c r="F87" s="368"/>
      <c r="G87" s="369">
        <v>3</v>
      </c>
      <c r="H87" s="370">
        <f t="shared" si="7"/>
        <v>25588.633333333331</v>
      </c>
      <c r="I87" s="371">
        <v>76765.899999999994</v>
      </c>
      <c r="J87" s="372">
        <v>0.2</v>
      </c>
      <c r="K87" s="370">
        <f t="shared" si="8"/>
        <v>15353.18</v>
      </c>
      <c r="L87" s="370">
        <f t="shared" si="9"/>
        <v>92119.079999999987</v>
      </c>
      <c r="M87" s="562"/>
      <c r="N87" s="370">
        <f>(H87+H87/100*O78)+((H87+H87/100*O78)/100*20)</f>
        <v>32463.645952366449</v>
      </c>
      <c r="O87" s="548"/>
      <c r="P87" s="548"/>
    </row>
    <row r="88" spans="1:16" x14ac:dyDescent="0.25">
      <c r="A88" s="560"/>
      <c r="B88" s="537" t="s">
        <v>401</v>
      </c>
      <c r="C88" s="537"/>
      <c r="D88" s="537"/>
      <c r="E88" s="537"/>
      <c r="F88" s="368"/>
      <c r="G88" s="369">
        <v>3</v>
      </c>
      <c r="H88" s="370">
        <f t="shared" si="7"/>
        <v>31493.703333333335</v>
      </c>
      <c r="I88" s="371">
        <v>94481.11</v>
      </c>
      <c r="J88" s="372">
        <v>0.2</v>
      </c>
      <c r="K88" s="370">
        <f t="shared" si="8"/>
        <v>18896.222000000002</v>
      </c>
      <c r="L88" s="370">
        <f t="shared" si="9"/>
        <v>113377.33199999999</v>
      </c>
      <c r="M88" s="562"/>
      <c r="N88" s="370">
        <f>(H88+H88/100*O78)+((H88+H88/100*O78)/100*20)</f>
        <v>39955.257532662159</v>
      </c>
      <c r="O88" s="548"/>
      <c r="P88" s="548"/>
    </row>
    <row r="89" spans="1:16" x14ac:dyDescent="0.25">
      <c r="A89" s="560"/>
      <c r="B89" s="537" t="s">
        <v>402</v>
      </c>
      <c r="C89" s="537"/>
      <c r="D89" s="537"/>
      <c r="E89" s="537"/>
      <c r="F89" s="368"/>
      <c r="G89" s="369">
        <v>35</v>
      </c>
      <c r="H89" s="370">
        <f t="shared" si="7"/>
        <v>5668.8662857142863</v>
      </c>
      <c r="I89" s="371">
        <v>198410.32</v>
      </c>
      <c r="J89" s="372">
        <v>0.2</v>
      </c>
      <c r="K89" s="370">
        <f t="shared" si="8"/>
        <v>39682.063999999998</v>
      </c>
      <c r="L89" s="370">
        <f t="shared" si="9"/>
        <v>238092.38400000002</v>
      </c>
      <c r="M89" s="562"/>
      <c r="N89" s="370">
        <f>(H89+H89/100*O78)+((H89+H89/100*O78)/100*20)</f>
        <v>7191.9459571529251</v>
      </c>
      <c r="O89" s="548"/>
      <c r="P89" s="548"/>
    </row>
    <row r="90" spans="1:16" x14ac:dyDescent="0.25">
      <c r="A90" s="560"/>
      <c r="B90" s="537" t="s">
        <v>403</v>
      </c>
      <c r="C90" s="537"/>
      <c r="D90" s="537"/>
      <c r="E90" s="537"/>
      <c r="F90" s="368"/>
      <c r="G90" s="369">
        <v>10</v>
      </c>
      <c r="H90" s="370">
        <f t="shared" si="7"/>
        <v>11692.036</v>
      </c>
      <c r="I90" s="371">
        <v>116920.36</v>
      </c>
      <c r="J90" s="372">
        <v>0.2</v>
      </c>
      <c r="K90" s="370">
        <f t="shared" si="8"/>
        <v>23384.072</v>
      </c>
      <c r="L90" s="370">
        <f t="shared" si="9"/>
        <v>140304.432</v>
      </c>
      <c r="M90" s="562"/>
      <c r="N90" s="370">
        <f>(H90+H90/100*O78)+((H90+H90/100*O78)/100*20)</f>
        <v>14833.387630431851</v>
      </c>
      <c r="O90" s="548"/>
      <c r="P90" s="548"/>
    </row>
    <row r="91" spans="1:16" x14ac:dyDescent="0.25">
      <c r="A91" s="560"/>
      <c r="B91" s="537" t="s">
        <v>404</v>
      </c>
      <c r="C91" s="537"/>
      <c r="D91" s="537"/>
      <c r="E91" s="537"/>
      <c r="F91" s="368"/>
      <c r="G91" s="369">
        <v>5</v>
      </c>
      <c r="H91" s="370">
        <f t="shared" si="7"/>
        <v>21651.920000000002</v>
      </c>
      <c r="I91" s="371">
        <v>108259.6</v>
      </c>
      <c r="J91" s="372">
        <v>0.2</v>
      </c>
      <c r="K91" s="370">
        <f t="shared" si="8"/>
        <v>21651.919999999998</v>
      </c>
      <c r="L91" s="370">
        <f t="shared" si="9"/>
        <v>129911.52</v>
      </c>
      <c r="M91" s="562"/>
      <c r="N91" s="370">
        <f>(H91+H91/100*O78)+((H91+H91/100*O78)/100*20)</f>
        <v>27469.238232169322</v>
      </c>
      <c r="O91" s="548"/>
      <c r="P91" s="548"/>
    </row>
    <row r="92" spans="1:16" x14ac:dyDescent="0.25">
      <c r="A92" s="560"/>
      <c r="B92" s="537" t="s">
        <v>405</v>
      </c>
      <c r="C92" s="537"/>
      <c r="D92" s="537"/>
      <c r="E92" s="537"/>
      <c r="F92" s="368"/>
      <c r="G92" s="369">
        <v>5</v>
      </c>
      <c r="H92" s="370">
        <f t="shared" si="7"/>
        <v>25588.632000000001</v>
      </c>
      <c r="I92" s="371">
        <v>127943.16</v>
      </c>
      <c r="J92" s="372">
        <v>0.2</v>
      </c>
      <c r="K92" s="370">
        <f t="shared" si="8"/>
        <v>25588.632000000001</v>
      </c>
      <c r="L92" s="370">
        <f t="shared" si="9"/>
        <v>153531.79200000002</v>
      </c>
      <c r="M92" s="562"/>
      <c r="N92" s="370">
        <f>(H92+H92/100*O78)+((H92+H92/100*O78)/100*20)</f>
        <v>32463.644260800491</v>
      </c>
      <c r="O92" s="548"/>
      <c r="P92" s="548"/>
    </row>
    <row r="93" spans="1:16" x14ac:dyDescent="0.25">
      <c r="A93" s="560"/>
      <c r="B93" s="537" t="s">
        <v>406</v>
      </c>
      <c r="C93" s="537"/>
      <c r="D93" s="537"/>
      <c r="E93" s="537"/>
      <c r="F93" s="368"/>
      <c r="G93" s="369">
        <v>2</v>
      </c>
      <c r="H93" s="370">
        <f t="shared" si="7"/>
        <v>54326.635000000002</v>
      </c>
      <c r="I93" s="371">
        <v>108653.27</v>
      </c>
      <c r="J93" s="372">
        <v>0.2</v>
      </c>
      <c r="K93" s="370">
        <f t="shared" si="8"/>
        <v>21730.653999999999</v>
      </c>
      <c r="L93" s="370">
        <f t="shared" si="9"/>
        <v>130383.924</v>
      </c>
      <c r="M93" s="562"/>
      <c r="N93" s="370">
        <f>(H93+H93/100*O78)+((H93+H93/100*O78)/100*20)</f>
        <v>68922.815120650179</v>
      </c>
      <c r="O93" s="548"/>
      <c r="P93" s="548"/>
    </row>
    <row r="94" spans="1:16" x14ac:dyDescent="0.25">
      <c r="A94" s="560"/>
      <c r="B94" s="537" t="s">
        <v>407</v>
      </c>
      <c r="C94" s="537"/>
      <c r="D94" s="537"/>
      <c r="E94" s="537"/>
      <c r="F94" s="368"/>
      <c r="G94" s="369">
        <v>2</v>
      </c>
      <c r="H94" s="370">
        <f t="shared" si="7"/>
        <v>79718.425000000003</v>
      </c>
      <c r="I94" s="371">
        <v>159436.85</v>
      </c>
      <c r="J94" s="372">
        <v>0.2</v>
      </c>
      <c r="K94" s="370">
        <f t="shared" si="8"/>
        <v>31887.370000000003</v>
      </c>
      <c r="L94" s="370">
        <f t="shared" si="9"/>
        <v>191324.22</v>
      </c>
      <c r="M94" s="562"/>
      <c r="N94" s="370">
        <f>(H94+H94/100*O78)+((H94+H94/100*O78)/100*20)</f>
        <v>101136.73096050246</v>
      </c>
      <c r="O94" s="548"/>
      <c r="P94" s="548"/>
    </row>
    <row r="95" spans="1:16" x14ac:dyDescent="0.25">
      <c r="A95" s="560"/>
      <c r="B95" s="537" t="s">
        <v>408</v>
      </c>
      <c r="C95" s="537"/>
      <c r="D95" s="537"/>
      <c r="E95" s="537"/>
      <c r="F95" s="368"/>
      <c r="G95" s="369">
        <v>2</v>
      </c>
      <c r="H95" s="370">
        <f t="shared" si="7"/>
        <v>128730.505</v>
      </c>
      <c r="I95" s="371">
        <v>257461.01</v>
      </c>
      <c r="J95" s="372">
        <v>0.2</v>
      </c>
      <c r="K95" s="370">
        <f t="shared" si="8"/>
        <v>51492.201999999997</v>
      </c>
      <c r="L95" s="370">
        <f t="shared" si="9"/>
        <v>308953.212</v>
      </c>
      <c r="M95" s="562"/>
      <c r="N95" s="370">
        <f>(H95+H95/100*O78)+((H95+H95/100*O78)/100*20)</f>
        <v>163317.10580828233</v>
      </c>
      <c r="O95" s="548"/>
      <c r="P95" s="548"/>
    </row>
    <row r="96" spans="1:16" x14ac:dyDescent="0.25">
      <c r="A96" s="560"/>
      <c r="B96" s="537" t="s">
        <v>409</v>
      </c>
      <c r="C96" s="537"/>
      <c r="D96" s="537"/>
      <c r="E96" s="537"/>
      <c r="F96" s="368"/>
      <c r="G96" s="369">
        <v>3</v>
      </c>
      <c r="H96" s="370">
        <f t="shared" si="7"/>
        <v>11810.136666666667</v>
      </c>
      <c r="I96" s="371">
        <v>35430.410000000003</v>
      </c>
      <c r="J96" s="372">
        <v>0.2</v>
      </c>
      <c r="K96" s="370">
        <f t="shared" si="8"/>
        <v>7086.0820000000012</v>
      </c>
      <c r="L96" s="370">
        <f t="shared" si="9"/>
        <v>42516.492000000006</v>
      </c>
      <c r="M96" s="562"/>
      <c r="N96" s="370">
        <f>(H96+H96/100*O78)+((H96+H96/100*O78)/100*20)</f>
        <v>14983.218931676485</v>
      </c>
      <c r="O96" s="548"/>
      <c r="P96" s="548"/>
    </row>
    <row r="97" spans="1:16" x14ac:dyDescent="0.25">
      <c r="A97" s="560"/>
      <c r="B97" s="537" t="s">
        <v>410</v>
      </c>
      <c r="C97" s="537"/>
      <c r="D97" s="537"/>
      <c r="E97" s="537"/>
      <c r="F97" s="368"/>
      <c r="G97" s="369">
        <v>2</v>
      </c>
      <c r="H97" s="370">
        <f t="shared" si="7"/>
        <v>3280.59</v>
      </c>
      <c r="I97" s="371">
        <v>6561.18</v>
      </c>
      <c r="J97" s="372">
        <v>0.2</v>
      </c>
      <c r="K97" s="370">
        <f t="shared" si="8"/>
        <v>1312.2360000000001</v>
      </c>
      <c r="L97" s="370">
        <f t="shared" si="9"/>
        <v>7873.4160000000002</v>
      </c>
      <c r="M97" s="562"/>
      <c r="N97" s="370">
        <f>(H97+H97/100*O78)+((H97+H97/100*O78)/100*20)</f>
        <v>4162.0007949443907</v>
      </c>
      <c r="O97" s="548"/>
      <c r="P97" s="548"/>
    </row>
    <row r="98" spans="1:16" x14ac:dyDescent="0.25">
      <c r="A98" s="560"/>
      <c r="B98" s="537" t="s">
        <v>411</v>
      </c>
      <c r="C98" s="537"/>
      <c r="D98" s="537"/>
      <c r="E98" s="537"/>
      <c r="F98" s="368"/>
      <c r="G98" s="369">
        <v>6</v>
      </c>
      <c r="H98" s="370">
        <f t="shared" si="7"/>
        <v>393.67</v>
      </c>
      <c r="I98" s="371">
        <v>2362.02</v>
      </c>
      <c r="J98" s="372">
        <v>0.2</v>
      </c>
      <c r="K98" s="370">
        <f t="shared" si="8"/>
        <v>472.404</v>
      </c>
      <c r="L98" s="370">
        <f t="shared" si="9"/>
        <v>2834.424</v>
      </c>
      <c r="M98" s="562"/>
      <c r="N98" s="370">
        <f>(H98+H98/100*O78)+((H98+H98/100*O78)/100*20)</f>
        <v>499.43908045374712</v>
      </c>
      <c r="O98" s="548"/>
      <c r="P98" s="548"/>
    </row>
    <row r="99" spans="1:16" x14ac:dyDescent="0.25">
      <c r="A99" s="611" t="s">
        <v>445</v>
      </c>
      <c r="B99" s="536" t="s">
        <v>443</v>
      </c>
      <c r="C99" s="536"/>
      <c r="D99" s="536"/>
      <c r="E99" s="536"/>
      <c r="F99" s="386"/>
      <c r="G99" s="383">
        <v>500</v>
      </c>
      <c r="H99" s="384">
        <f t="shared" si="7"/>
        <v>46.2</v>
      </c>
      <c r="I99" s="383">
        <v>23100</v>
      </c>
      <c r="J99" s="385">
        <v>0.2</v>
      </c>
      <c r="K99" s="384">
        <f t="shared" si="8"/>
        <v>4620</v>
      </c>
      <c r="L99" s="384">
        <f t="shared" si="9"/>
        <v>27720</v>
      </c>
      <c r="M99" s="615"/>
      <c r="N99" s="384">
        <f>H99+H99/100*20</f>
        <v>55.440000000000005</v>
      </c>
      <c r="O99" s="612">
        <v>0</v>
      </c>
      <c r="P99" s="612">
        <v>0</v>
      </c>
    </row>
    <row r="100" spans="1:16" x14ac:dyDescent="0.25">
      <c r="A100" s="611"/>
      <c r="B100" s="536" t="s">
        <v>442</v>
      </c>
      <c r="C100" s="536"/>
      <c r="D100" s="536"/>
      <c r="E100" s="536"/>
      <c r="F100" s="386"/>
      <c r="G100" s="383">
        <v>500</v>
      </c>
      <c r="H100" s="384">
        <f t="shared" si="7"/>
        <v>60.1</v>
      </c>
      <c r="I100" s="383">
        <v>30050</v>
      </c>
      <c r="J100" s="385">
        <v>0.2</v>
      </c>
      <c r="K100" s="384">
        <f t="shared" si="8"/>
        <v>6010</v>
      </c>
      <c r="L100" s="384">
        <f t="shared" si="9"/>
        <v>36060</v>
      </c>
      <c r="M100" s="615"/>
      <c r="N100" s="384">
        <f t="shared" ref="N100:N108" si="10">H100+H100/100*20</f>
        <v>72.12</v>
      </c>
      <c r="O100" s="613"/>
      <c r="P100" s="613"/>
    </row>
    <row r="101" spans="1:16" x14ac:dyDescent="0.25">
      <c r="A101" s="611"/>
      <c r="B101" s="536" t="s">
        <v>446</v>
      </c>
      <c r="C101" s="536"/>
      <c r="D101" s="536"/>
      <c r="E101" s="536"/>
      <c r="F101" s="386"/>
      <c r="G101" s="383">
        <v>200</v>
      </c>
      <c r="H101" s="384">
        <f t="shared" si="7"/>
        <v>244.04</v>
      </c>
      <c r="I101" s="383">
        <v>48808</v>
      </c>
      <c r="J101" s="385">
        <v>0.2</v>
      </c>
      <c r="K101" s="384">
        <f t="shared" si="8"/>
        <v>9761.6</v>
      </c>
      <c r="L101" s="384">
        <f t="shared" si="9"/>
        <v>58569.599999999999</v>
      </c>
      <c r="M101" s="615"/>
      <c r="N101" s="384">
        <f t="shared" si="10"/>
        <v>292.84800000000001</v>
      </c>
      <c r="O101" s="613"/>
      <c r="P101" s="613"/>
    </row>
    <row r="102" spans="1:16" x14ac:dyDescent="0.25">
      <c r="A102" s="611"/>
      <c r="B102" s="536" t="s">
        <v>447</v>
      </c>
      <c r="C102" s="536"/>
      <c r="D102" s="536"/>
      <c r="E102" s="536"/>
      <c r="F102" s="386"/>
      <c r="G102" s="383">
        <v>200</v>
      </c>
      <c r="H102" s="384">
        <f t="shared" si="7"/>
        <v>240.5</v>
      </c>
      <c r="I102" s="383">
        <v>48100</v>
      </c>
      <c r="J102" s="385">
        <v>0.2</v>
      </c>
      <c r="K102" s="384">
        <f t="shared" si="8"/>
        <v>9620</v>
      </c>
      <c r="L102" s="384">
        <f t="shared" si="9"/>
        <v>57720</v>
      </c>
      <c r="M102" s="615"/>
      <c r="N102" s="384">
        <f t="shared" si="10"/>
        <v>288.60000000000002</v>
      </c>
      <c r="O102" s="614"/>
      <c r="P102" s="614"/>
    </row>
    <row r="103" spans="1:16" ht="15" customHeight="1" x14ac:dyDescent="0.25">
      <c r="A103" s="609" t="s">
        <v>422</v>
      </c>
      <c r="B103" s="538" t="s">
        <v>444</v>
      </c>
      <c r="C103" s="538"/>
      <c r="D103" s="538"/>
      <c r="E103" s="539"/>
      <c r="F103" s="387"/>
      <c r="G103" s="388">
        <v>500</v>
      </c>
      <c r="H103" s="389">
        <f t="shared" si="7"/>
        <v>2.5</v>
      </c>
      <c r="I103" s="390">
        <v>1250</v>
      </c>
      <c r="J103" s="391">
        <v>0.2</v>
      </c>
      <c r="K103" s="389">
        <f t="shared" si="8"/>
        <v>250</v>
      </c>
      <c r="L103" s="389">
        <f t="shared" si="9"/>
        <v>1500</v>
      </c>
      <c r="M103" s="541"/>
      <c r="N103" s="389">
        <f t="shared" si="10"/>
        <v>3</v>
      </c>
      <c r="O103" s="608">
        <v>0</v>
      </c>
      <c r="P103" s="608">
        <v>0</v>
      </c>
    </row>
    <row r="104" spans="1:16" x14ac:dyDescent="0.25">
      <c r="A104" s="609"/>
      <c r="B104" s="538" t="s">
        <v>448</v>
      </c>
      <c r="C104" s="538"/>
      <c r="D104" s="538"/>
      <c r="E104" s="539"/>
      <c r="F104" s="387"/>
      <c r="G104" s="388">
        <v>400</v>
      </c>
      <c r="H104" s="389">
        <f t="shared" si="7"/>
        <v>16.858325000000001</v>
      </c>
      <c r="I104" s="390">
        <v>6743.33</v>
      </c>
      <c r="J104" s="391">
        <v>0.2</v>
      </c>
      <c r="K104" s="389">
        <f t="shared" si="8"/>
        <v>1348.6660000000002</v>
      </c>
      <c r="L104" s="389">
        <f t="shared" si="9"/>
        <v>8091.9960000000001</v>
      </c>
      <c r="M104" s="541"/>
      <c r="N104" s="389">
        <f t="shared" si="10"/>
        <v>20.229990000000001</v>
      </c>
      <c r="O104" s="608"/>
      <c r="P104" s="608"/>
    </row>
    <row r="105" spans="1:16" x14ac:dyDescent="0.25">
      <c r="A105" s="609"/>
      <c r="B105" s="538" t="s">
        <v>449</v>
      </c>
      <c r="C105" s="538"/>
      <c r="D105" s="538"/>
      <c r="E105" s="539"/>
      <c r="F105" s="387"/>
      <c r="G105" s="388">
        <v>100</v>
      </c>
      <c r="H105" s="389">
        <f t="shared" si="7"/>
        <v>18.574999999999999</v>
      </c>
      <c r="I105" s="390">
        <v>1857.5</v>
      </c>
      <c r="J105" s="391">
        <v>0.2</v>
      </c>
      <c r="K105" s="389">
        <f t="shared" si="8"/>
        <v>371.5</v>
      </c>
      <c r="L105" s="389">
        <f t="shared" si="9"/>
        <v>2229</v>
      </c>
      <c r="M105" s="541"/>
      <c r="N105" s="389">
        <f t="shared" si="10"/>
        <v>22.29</v>
      </c>
      <c r="O105" s="608"/>
      <c r="P105" s="608"/>
    </row>
    <row r="106" spans="1:16" x14ac:dyDescent="0.25">
      <c r="A106" s="609"/>
      <c r="B106" s="538" t="s">
        <v>450</v>
      </c>
      <c r="C106" s="538"/>
      <c r="D106" s="538"/>
      <c r="E106" s="539"/>
      <c r="F106" s="387"/>
      <c r="G106" s="388">
        <v>100</v>
      </c>
      <c r="H106" s="389">
        <f t="shared" si="7"/>
        <v>30.633299999999998</v>
      </c>
      <c r="I106" s="390">
        <v>3063.33</v>
      </c>
      <c r="J106" s="391">
        <v>0.2</v>
      </c>
      <c r="K106" s="389">
        <f t="shared" si="8"/>
        <v>612.66599999999994</v>
      </c>
      <c r="L106" s="389">
        <f t="shared" si="9"/>
        <v>3675.9960000000001</v>
      </c>
      <c r="M106" s="541"/>
      <c r="N106" s="389">
        <f t="shared" si="10"/>
        <v>36.75996</v>
      </c>
      <c r="O106" s="608"/>
      <c r="P106" s="608"/>
    </row>
    <row r="107" spans="1:16" x14ac:dyDescent="0.25">
      <c r="A107" s="609"/>
      <c r="B107" s="538" t="s">
        <v>451</v>
      </c>
      <c r="C107" s="538"/>
      <c r="D107" s="538"/>
      <c r="E107" s="539"/>
      <c r="F107" s="387"/>
      <c r="G107" s="388">
        <v>100</v>
      </c>
      <c r="H107" s="389">
        <f t="shared" si="7"/>
        <v>39.166699999999999</v>
      </c>
      <c r="I107" s="390">
        <v>3916.67</v>
      </c>
      <c r="J107" s="391">
        <v>0.2</v>
      </c>
      <c r="K107" s="389">
        <f t="shared" si="8"/>
        <v>783.33399999999995</v>
      </c>
      <c r="L107" s="389">
        <f t="shared" si="9"/>
        <v>4700.0039999999999</v>
      </c>
      <c r="M107" s="541"/>
      <c r="N107" s="389">
        <f t="shared" si="10"/>
        <v>47.000039999999998</v>
      </c>
      <c r="O107" s="608"/>
      <c r="P107" s="608"/>
    </row>
    <row r="108" spans="1:16" x14ac:dyDescent="0.25">
      <c r="A108" s="609"/>
      <c r="B108" s="610" t="s">
        <v>452</v>
      </c>
      <c r="C108" s="610"/>
      <c r="D108" s="610"/>
      <c r="E108" s="610"/>
      <c r="F108" s="387"/>
      <c r="G108" s="388">
        <v>20</v>
      </c>
      <c r="H108" s="389">
        <f t="shared" si="7"/>
        <v>39.458500000000001</v>
      </c>
      <c r="I108" s="390">
        <v>789.17</v>
      </c>
      <c r="J108" s="391">
        <v>0.2</v>
      </c>
      <c r="K108" s="389">
        <f t="shared" si="8"/>
        <v>157.83399999999997</v>
      </c>
      <c r="L108" s="389">
        <f t="shared" si="9"/>
        <v>947.00399999999991</v>
      </c>
      <c r="M108" s="541"/>
      <c r="N108" s="389">
        <f t="shared" si="10"/>
        <v>47.350200000000001</v>
      </c>
      <c r="O108" s="608"/>
      <c r="P108" s="608"/>
    </row>
    <row r="115" spans="2:14" ht="45" x14ac:dyDescent="0.25">
      <c r="B115" s="373" t="s">
        <v>412</v>
      </c>
      <c r="C115" s="373" t="s">
        <v>413</v>
      </c>
      <c r="D115" s="373" t="s">
        <v>414</v>
      </c>
      <c r="E115" s="373" t="s">
        <v>415</v>
      </c>
      <c r="F115" s="373" t="s">
        <v>416</v>
      </c>
      <c r="G115" s="373" t="s">
        <v>417</v>
      </c>
      <c r="H115" s="373" t="s">
        <v>418</v>
      </c>
      <c r="I115" s="373" t="s">
        <v>419</v>
      </c>
      <c r="J115" s="374" t="s">
        <v>420</v>
      </c>
      <c r="K115" s="374" t="s">
        <v>421</v>
      </c>
    </row>
    <row r="116" spans="2:14" x14ac:dyDescent="0.25">
      <c r="B116" s="375" t="s">
        <v>422</v>
      </c>
      <c r="C116" s="527" t="s">
        <v>423</v>
      </c>
      <c r="D116" s="527" t="s">
        <v>424</v>
      </c>
      <c r="E116" s="376" t="s">
        <v>425</v>
      </c>
      <c r="F116" s="377"/>
      <c r="G116" s="378"/>
      <c r="H116" s="376">
        <v>21315591</v>
      </c>
      <c r="I116" s="379">
        <v>43565</v>
      </c>
      <c r="J116" s="380">
        <v>38000</v>
      </c>
      <c r="K116" s="381">
        <f>J116/120*100</f>
        <v>31666.666666666668</v>
      </c>
      <c r="L116" s="350"/>
      <c r="M116" s="540"/>
      <c r="N116" s="350"/>
    </row>
    <row r="117" spans="2:14" x14ac:dyDescent="0.25">
      <c r="B117" s="375" t="s">
        <v>426</v>
      </c>
      <c r="C117" s="528"/>
      <c r="D117" s="528"/>
      <c r="E117" s="376" t="s">
        <v>427</v>
      </c>
      <c r="F117" s="377"/>
      <c r="G117" s="378"/>
      <c r="H117" s="376">
        <v>21315591</v>
      </c>
      <c r="I117" s="379">
        <v>43565</v>
      </c>
      <c r="J117" s="380">
        <v>3000</v>
      </c>
      <c r="K117" s="381">
        <f>J117/120*100</f>
        <v>2500</v>
      </c>
      <c r="M117" s="540"/>
      <c r="N117" s="350"/>
    </row>
    <row r="118" spans="2:14" x14ac:dyDescent="0.25">
      <c r="B118" s="375" t="s">
        <v>428</v>
      </c>
      <c r="C118" s="529"/>
      <c r="D118" s="529"/>
      <c r="E118" s="376" t="s">
        <v>429</v>
      </c>
      <c r="F118" s="377"/>
      <c r="G118" s="378"/>
      <c r="H118" s="376">
        <v>21315591</v>
      </c>
      <c r="I118" s="379">
        <v>43565</v>
      </c>
      <c r="J118" s="380">
        <v>6000</v>
      </c>
      <c r="K118" s="381">
        <f>J118/120*100</f>
        <v>5000</v>
      </c>
      <c r="M118" s="540"/>
      <c r="N118" s="350"/>
    </row>
    <row r="119" spans="2:14" x14ac:dyDescent="0.25">
      <c r="B119" s="375" t="s">
        <v>430</v>
      </c>
      <c r="C119" s="376"/>
      <c r="D119" s="376" t="s">
        <v>424</v>
      </c>
      <c r="E119" s="376" t="s">
        <v>431</v>
      </c>
      <c r="F119" s="377"/>
      <c r="G119" s="378">
        <v>600</v>
      </c>
      <c r="H119" s="376">
        <v>21315359</v>
      </c>
      <c r="I119" s="379">
        <v>43563</v>
      </c>
      <c r="J119" s="380"/>
      <c r="K119" s="381">
        <v>20000</v>
      </c>
    </row>
    <row r="120" spans="2:14" x14ac:dyDescent="0.25">
      <c r="B120" s="524" t="s">
        <v>355</v>
      </c>
      <c r="C120" s="527" t="s">
        <v>423</v>
      </c>
      <c r="D120" s="376" t="s">
        <v>432</v>
      </c>
      <c r="E120" s="527" t="s">
        <v>433</v>
      </c>
      <c r="F120" s="530">
        <v>3</v>
      </c>
      <c r="G120" s="533">
        <v>4673</v>
      </c>
      <c r="H120" s="376"/>
      <c r="I120" s="379"/>
      <c r="J120" s="380"/>
      <c r="K120" s="381"/>
    </row>
    <row r="121" spans="2:14" x14ac:dyDescent="0.25">
      <c r="B121" s="525"/>
      <c r="C121" s="528"/>
      <c r="D121" s="376" t="s">
        <v>434</v>
      </c>
      <c r="E121" s="528"/>
      <c r="F121" s="531"/>
      <c r="G121" s="534"/>
      <c r="H121" s="376"/>
      <c r="I121" s="379"/>
      <c r="J121" s="380"/>
      <c r="K121" s="381"/>
    </row>
    <row r="122" spans="2:14" x14ac:dyDescent="0.25">
      <c r="B122" s="525"/>
      <c r="C122" s="528"/>
      <c r="D122" s="376" t="s">
        <v>435</v>
      </c>
      <c r="E122" s="528"/>
      <c r="F122" s="531"/>
      <c r="G122" s="534"/>
      <c r="H122" s="376"/>
      <c r="I122" s="379"/>
      <c r="J122" s="380"/>
      <c r="K122" s="381"/>
    </row>
    <row r="123" spans="2:14" x14ac:dyDescent="0.25">
      <c r="B123" s="525"/>
      <c r="C123" s="528"/>
      <c r="D123" s="376" t="s">
        <v>436</v>
      </c>
      <c r="E123" s="528"/>
      <c r="F123" s="531"/>
      <c r="G123" s="534"/>
      <c r="H123" s="376">
        <v>21315774</v>
      </c>
      <c r="I123" s="379">
        <v>43567</v>
      </c>
      <c r="J123" s="380">
        <v>25100</v>
      </c>
      <c r="K123" s="381"/>
    </row>
    <row r="124" spans="2:14" x14ac:dyDescent="0.25">
      <c r="B124" s="526"/>
      <c r="C124" s="529"/>
      <c r="D124" s="376" t="s">
        <v>424</v>
      </c>
      <c r="E124" s="529"/>
      <c r="F124" s="532"/>
      <c r="G124" s="535"/>
      <c r="H124" s="376">
        <v>21315331</v>
      </c>
      <c r="I124" s="379">
        <v>43560</v>
      </c>
      <c r="J124" s="380">
        <v>224577.39</v>
      </c>
      <c r="K124" s="381"/>
    </row>
    <row r="125" spans="2:14" x14ac:dyDescent="0.25">
      <c r="B125" s="524" t="s">
        <v>437</v>
      </c>
      <c r="C125" s="527" t="s">
        <v>423</v>
      </c>
      <c r="D125" s="376" t="s">
        <v>434</v>
      </c>
      <c r="E125" s="527" t="s">
        <v>438</v>
      </c>
      <c r="F125" s="530">
        <v>4</v>
      </c>
      <c r="G125" s="533">
        <v>1227</v>
      </c>
      <c r="H125" s="376"/>
      <c r="I125" s="379"/>
      <c r="J125" s="380"/>
      <c r="K125" s="381"/>
    </row>
    <row r="126" spans="2:14" x14ac:dyDescent="0.25">
      <c r="B126" s="525"/>
      <c r="C126" s="528"/>
      <c r="D126" s="376" t="s">
        <v>435</v>
      </c>
      <c r="E126" s="528"/>
      <c r="F126" s="531"/>
      <c r="G126" s="534"/>
      <c r="H126" s="376"/>
      <c r="I126" s="379"/>
      <c r="J126" s="380"/>
      <c r="K126" s="381"/>
    </row>
    <row r="127" spans="2:14" x14ac:dyDescent="0.25">
      <c r="B127" s="525"/>
      <c r="C127" s="528"/>
      <c r="D127" s="376" t="s">
        <v>439</v>
      </c>
      <c r="E127" s="528"/>
      <c r="F127" s="531"/>
      <c r="G127" s="534"/>
      <c r="H127" s="376"/>
      <c r="I127" s="379"/>
      <c r="J127" s="380">
        <v>35040</v>
      </c>
      <c r="K127" s="381">
        <f>J127/120*100</f>
        <v>29200</v>
      </c>
    </row>
    <row r="128" spans="2:14" x14ac:dyDescent="0.25">
      <c r="B128" s="525"/>
      <c r="C128" s="528"/>
      <c r="D128" s="376" t="s">
        <v>436</v>
      </c>
      <c r="E128" s="528"/>
      <c r="F128" s="531"/>
      <c r="G128" s="534"/>
      <c r="H128" s="376">
        <v>21316428</v>
      </c>
      <c r="I128" s="379">
        <v>43574</v>
      </c>
      <c r="J128" s="380">
        <v>48967</v>
      </c>
      <c r="K128" s="381"/>
    </row>
    <row r="129" spans="2:11" x14ac:dyDescent="0.25">
      <c r="B129" s="526"/>
      <c r="C129" s="529"/>
      <c r="D129" s="376" t="s">
        <v>424</v>
      </c>
      <c r="E129" s="529"/>
      <c r="F129" s="532"/>
      <c r="G129" s="535"/>
      <c r="H129" s="376">
        <v>21315910</v>
      </c>
      <c r="I129" s="379">
        <v>43570</v>
      </c>
      <c r="J129" s="380">
        <v>118227.01</v>
      </c>
      <c r="K129" s="381"/>
    </row>
    <row r="130" spans="2:11" x14ac:dyDescent="0.25">
      <c r="B130" s="524" t="s">
        <v>361</v>
      </c>
      <c r="C130" s="527" t="s">
        <v>423</v>
      </c>
      <c r="D130" s="376" t="s">
        <v>440</v>
      </c>
      <c r="E130" s="527" t="s">
        <v>438</v>
      </c>
      <c r="F130" s="530">
        <v>2</v>
      </c>
      <c r="G130" s="533">
        <v>254</v>
      </c>
      <c r="H130" s="376"/>
      <c r="I130" s="379"/>
      <c r="J130" s="380"/>
      <c r="K130" s="381">
        <f>J130/120*100</f>
        <v>0</v>
      </c>
    </row>
    <row r="131" spans="2:11" x14ac:dyDescent="0.25">
      <c r="B131" s="525"/>
      <c r="C131" s="528"/>
      <c r="D131" s="376" t="s">
        <v>435</v>
      </c>
      <c r="E131" s="528"/>
      <c r="F131" s="531"/>
      <c r="G131" s="534"/>
      <c r="H131" s="376"/>
      <c r="I131" s="379"/>
      <c r="J131" s="380"/>
      <c r="K131" s="381">
        <f>J131/120*100</f>
        <v>0</v>
      </c>
    </row>
    <row r="132" spans="2:11" x14ac:dyDescent="0.25">
      <c r="B132" s="525"/>
      <c r="C132" s="528"/>
      <c r="D132" s="376" t="s">
        <v>436</v>
      </c>
      <c r="E132" s="528"/>
      <c r="F132" s="531"/>
      <c r="G132" s="534"/>
      <c r="H132" s="376">
        <v>21315619</v>
      </c>
      <c r="I132" s="379">
        <v>43565</v>
      </c>
      <c r="J132" s="380">
        <v>71514.25</v>
      </c>
      <c r="K132" s="381"/>
    </row>
    <row r="133" spans="2:11" x14ac:dyDescent="0.25">
      <c r="B133" s="526"/>
      <c r="C133" s="529"/>
      <c r="D133" s="376" t="s">
        <v>441</v>
      </c>
      <c r="E133" s="529"/>
      <c r="F133" s="532"/>
      <c r="G133" s="535"/>
      <c r="H133" s="376">
        <v>21314772</v>
      </c>
      <c r="I133" s="379">
        <v>43549</v>
      </c>
      <c r="J133" s="380">
        <v>70289.119999999995</v>
      </c>
      <c r="K133" s="381"/>
    </row>
  </sheetData>
  <mergeCells count="119">
    <mergeCell ref="O103:O108"/>
    <mergeCell ref="P103:P108"/>
    <mergeCell ref="A103:A108"/>
    <mergeCell ref="B108:E108"/>
    <mergeCell ref="A99:A102"/>
    <mergeCell ref="O99:O102"/>
    <mergeCell ref="P99:P102"/>
    <mergeCell ref="B101:E101"/>
    <mergeCell ref="M101:M102"/>
    <mergeCell ref="B102:E102"/>
    <mergeCell ref="M99:M100"/>
    <mergeCell ref="B103:E103"/>
    <mergeCell ref="B104:E104"/>
    <mergeCell ref="B105:E105"/>
    <mergeCell ref="B106:E106"/>
    <mergeCell ref="B99:E99"/>
    <mergeCell ref="A46:A49"/>
    <mergeCell ref="M46:M49"/>
    <mergeCell ref="O46:O49"/>
    <mergeCell ref="P46:P49"/>
    <mergeCell ref="B13:E13"/>
    <mergeCell ref="A14:A45"/>
    <mergeCell ref="M14:M45"/>
    <mergeCell ref="O14:O45"/>
    <mergeCell ref="P14:P45"/>
    <mergeCell ref="B46:E46"/>
    <mergeCell ref="B47:E47"/>
    <mergeCell ref="B48:E48"/>
    <mergeCell ref="B49:E49"/>
    <mergeCell ref="A50:A54"/>
    <mergeCell ref="M50:M54"/>
    <mergeCell ref="O50:O54"/>
    <mergeCell ref="P50:P54"/>
    <mergeCell ref="A55:A70"/>
    <mergeCell ref="B55:E55"/>
    <mergeCell ref="M55:M70"/>
    <mergeCell ref="O55:O70"/>
    <mergeCell ref="P55:P70"/>
    <mergeCell ref="B56:E56"/>
    <mergeCell ref="B57:E57"/>
    <mergeCell ref="B58:E58"/>
    <mergeCell ref="B59:E59"/>
    <mergeCell ref="B60:E60"/>
    <mergeCell ref="B61:E61"/>
    <mergeCell ref="B50:E50"/>
    <mergeCell ref="B51:E51"/>
    <mergeCell ref="B52:E52"/>
    <mergeCell ref="B53:E53"/>
    <mergeCell ref="B54:E54"/>
    <mergeCell ref="B62:E62"/>
    <mergeCell ref="P71:P72"/>
    <mergeCell ref="B63:E63"/>
    <mergeCell ref="B64:E64"/>
    <mergeCell ref="B65:E65"/>
    <mergeCell ref="B66:E66"/>
    <mergeCell ref="B67:E67"/>
    <mergeCell ref="B68:E68"/>
    <mergeCell ref="B69:E69"/>
    <mergeCell ref="B70:E70"/>
    <mergeCell ref="A71:A72"/>
    <mergeCell ref="M71:M72"/>
    <mergeCell ref="O71:O72"/>
    <mergeCell ref="A73:A77"/>
    <mergeCell ref="B73:E73"/>
    <mergeCell ref="F73:F77"/>
    <mergeCell ref="M73:M77"/>
    <mergeCell ref="O73:O77"/>
    <mergeCell ref="A78:A98"/>
    <mergeCell ref="B78:E78"/>
    <mergeCell ref="M78:M98"/>
    <mergeCell ref="O78:O98"/>
    <mergeCell ref="B94:E94"/>
    <mergeCell ref="B95:E95"/>
    <mergeCell ref="R73:R77"/>
    <mergeCell ref="B74:E74"/>
    <mergeCell ref="B75:E75"/>
    <mergeCell ref="B76:E76"/>
    <mergeCell ref="B77:E77"/>
    <mergeCell ref="P73:P77"/>
    <mergeCell ref="B89:E89"/>
    <mergeCell ref="B90:E90"/>
    <mergeCell ref="B91:E91"/>
    <mergeCell ref="P78:P98"/>
    <mergeCell ref="B84:E84"/>
    <mergeCell ref="B79:E79"/>
    <mergeCell ref="B80:E80"/>
    <mergeCell ref="B81:E81"/>
    <mergeCell ref="B82:E82"/>
    <mergeCell ref="B83:E83"/>
    <mergeCell ref="B96:E96"/>
    <mergeCell ref="B85:E85"/>
    <mergeCell ref="B86:E86"/>
    <mergeCell ref="B87:E87"/>
    <mergeCell ref="B88:E88"/>
    <mergeCell ref="B92:E92"/>
    <mergeCell ref="B93:E93"/>
    <mergeCell ref="B97:E97"/>
    <mergeCell ref="F120:F124"/>
    <mergeCell ref="G120:G124"/>
    <mergeCell ref="B120:B124"/>
    <mergeCell ref="C120:C124"/>
    <mergeCell ref="E120:E124"/>
    <mergeCell ref="B100:E100"/>
    <mergeCell ref="B98:E98"/>
    <mergeCell ref="B107:E107"/>
    <mergeCell ref="M116:M118"/>
    <mergeCell ref="C116:C118"/>
    <mergeCell ref="D116:D118"/>
    <mergeCell ref="M103:M108"/>
    <mergeCell ref="B125:B129"/>
    <mergeCell ref="C125:C129"/>
    <mergeCell ref="E125:E129"/>
    <mergeCell ref="F125:F129"/>
    <mergeCell ref="G125:G129"/>
    <mergeCell ref="B130:B133"/>
    <mergeCell ref="C130:C133"/>
    <mergeCell ref="E130:E133"/>
    <mergeCell ref="F130:F133"/>
    <mergeCell ref="G130:G13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theme="9"/>
    <outlinePr summaryBelow="0" summaryRight="0"/>
    <pageSetUpPr fitToPage="1"/>
  </sheetPr>
  <dimension ref="A1:AB103"/>
  <sheetViews>
    <sheetView showGridLines="0" tabSelected="1" topLeftCell="A49" zoomScale="80" zoomScaleNormal="80" zoomScaleSheetLayoutView="80" workbookViewId="0">
      <selection activeCell="C74" sqref="C74"/>
    </sheetView>
  </sheetViews>
  <sheetFormatPr defaultColWidth="9.140625" defaultRowHeight="15" outlineLevelRow="3" x14ac:dyDescent="0.25"/>
  <cols>
    <col min="1" max="1" width="1.7109375" style="392" customWidth="1"/>
    <col min="2" max="2" width="91.5703125" style="394" customWidth="1"/>
    <col min="3" max="3" width="15.5703125" style="433" customWidth="1"/>
    <col min="4" max="4" width="50.5703125" style="392" bestFit="1" customWidth="1"/>
    <col min="5" max="5" width="13.140625" style="392" customWidth="1"/>
    <col min="6" max="6" width="15.140625" style="392" bestFit="1" customWidth="1"/>
    <col min="7" max="8" width="13.85546875" style="392" bestFit="1" customWidth="1"/>
    <col min="9" max="9" width="15.7109375" style="392" bestFit="1" customWidth="1"/>
    <col min="10" max="16384" width="9.140625" style="392"/>
  </cols>
  <sheetData>
    <row r="1" spans="1:27" ht="50.25" customHeight="1" x14ac:dyDescent="0.25">
      <c r="B1" s="444" t="s">
        <v>317</v>
      </c>
      <c r="C1" s="444" t="s">
        <v>520</v>
      </c>
      <c r="D1" s="445" t="s">
        <v>500</v>
      </c>
    </row>
    <row r="2" spans="1:27" s="393" customFormat="1" ht="21" customHeight="1" x14ac:dyDescent="0.25">
      <c r="B2" s="452"/>
      <c r="C2" s="452"/>
      <c r="D2" s="453"/>
    </row>
    <row r="3" spans="1:27" ht="20.25" customHeight="1" x14ac:dyDescent="0.25">
      <c r="B3" s="450" t="s">
        <v>512</v>
      </c>
      <c r="C3" s="450"/>
      <c r="D3" s="451"/>
    </row>
    <row r="4" spans="1:27" ht="18" customHeight="1" x14ac:dyDescent="0.25">
      <c r="B4" s="448" t="s">
        <v>513</v>
      </c>
      <c r="C4" s="449">
        <v>1450000</v>
      </c>
      <c r="D4" s="447" t="s">
        <v>439</v>
      </c>
    </row>
    <row r="5" spans="1:27" ht="16.5" customHeight="1" x14ac:dyDescent="0.25">
      <c r="B5" s="448" t="s">
        <v>514</v>
      </c>
      <c r="C5" s="449">
        <v>1100000</v>
      </c>
      <c r="D5" s="447" t="s">
        <v>439</v>
      </c>
    </row>
    <row r="6" spans="1:27" ht="16.5" customHeight="1" x14ac:dyDescent="0.25">
      <c r="B6" s="448" t="s">
        <v>515</v>
      </c>
      <c r="C6" s="449">
        <v>1450000</v>
      </c>
      <c r="D6" s="447" t="s">
        <v>439</v>
      </c>
    </row>
    <row r="7" spans="1:27" ht="15" customHeight="1" x14ac:dyDescent="0.25">
      <c r="B7" s="448" t="s">
        <v>516</v>
      </c>
      <c r="C7" s="449">
        <v>1800000</v>
      </c>
      <c r="D7" s="447" t="s">
        <v>439</v>
      </c>
    </row>
    <row r="8" spans="1:27" ht="17.25" customHeight="1" x14ac:dyDescent="0.25">
      <c r="B8" s="448" t="s">
        <v>517</v>
      </c>
      <c r="C8" s="449">
        <v>26000</v>
      </c>
      <c r="D8" s="447" t="s">
        <v>439</v>
      </c>
    </row>
    <row r="9" spans="1:27" ht="13.5" customHeight="1" x14ac:dyDescent="0.25">
      <c r="B9" s="448" t="s">
        <v>518</v>
      </c>
      <c r="C9" s="449">
        <v>130000</v>
      </c>
      <c r="D9" s="447" t="s">
        <v>439</v>
      </c>
    </row>
    <row r="10" spans="1:27" ht="15.75" customHeight="1" x14ac:dyDescent="0.25">
      <c r="B10" s="448" t="s">
        <v>519</v>
      </c>
      <c r="C10" s="449">
        <v>80000</v>
      </c>
      <c r="D10" s="447" t="s">
        <v>439</v>
      </c>
    </row>
    <row r="11" spans="1:27" outlineLevel="1" x14ac:dyDescent="0.25">
      <c r="B11" s="444" t="s">
        <v>66</v>
      </c>
      <c r="C11" s="444" t="s">
        <v>510</v>
      </c>
      <c r="D11" s="445"/>
    </row>
    <row r="12" spans="1:27" s="393" customFormat="1" outlineLevel="2" x14ac:dyDescent="0.25">
      <c r="A12" s="393">
        <v>10049</v>
      </c>
      <c r="B12" s="459" t="s">
        <v>539</v>
      </c>
      <c r="C12" s="461">
        <f>290*23</f>
        <v>6670</v>
      </c>
      <c r="D12" s="439" t="s">
        <v>501</v>
      </c>
      <c r="E12" s="438"/>
      <c r="F12" s="437"/>
      <c r="G12" s="437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2"/>
      <c r="Z12" s="392"/>
      <c r="AA12" s="392"/>
    </row>
    <row r="13" spans="1:27" s="393" customFormat="1" outlineLevel="2" x14ac:dyDescent="0.25">
      <c r="A13" s="393">
        <v>10051</v>
      </c>
      <c r="B13" s="459" t="s">
        <v>540</v>
      </c>
      <c r="C13" s="461">
        <f>295*23</f>
        <v>6785</v>
      </c>
      <c r="D13" s="439" t="s">
        <v>501</v>
      </c>
      <c r="E13" s="438"/>
      <c r="F13" s="437"/>
      <c r="G13" s="437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392"/>
      <c r="S13" s="392"/>
      <c r="T13" s="392"/>
      <c r="U13" s="392"/>
      <c r="V13" s="392"/>
      <c r="W13" s="392"/>
      <c r="X13" s="392"/>
      <c r="Y13" s="392"/>
      <c r="Z13" s="392"/>
      <c r="AA13" s="392"/>
    </row>
    <row r="14" spans="1:27" s="393" customFormat="1" outlineLevel="2" x14ac:dyDescent="0.25">
      <c r="A14" s="393">
        <v>10052</v>
      </c>
      <c r="B14" s="459" t="s">
        <v>541</v>
      </c>
      <c r="C14" s="461">
        <f>300*23</f>
        <v>6900</v>
      </c>
      <c r="D14" s="439" t="s">
        <v>501</v>
      </c>
      <c r="E14" s="438"/>
      <c r="F14" s="437"/>
      <c r="G14" s="437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  <c r="AA14" s="392"/>
    </row>
    <row r="15" spans="1:27" s="393" customFormat="1" outlineLevel="2" x14ac:dyDescent="0.25">
      <c r="A15" s="393">
        <v>10053</v>
      </c>
      <c r="B15" s="459" t="s">
        <v>542</v>
      </c>
      <c r="C15" s="461">
        <f>305*23</f>
        <v>7015</v>
      </c>
      <c r="D15" s="439" t="s">
        <v>501</v>
      </c>
      <c r="E15" s="438"/>
      <c r="F15" s="437"/>
      <c r="G15" s="437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  <c r="AA15" s="392"/>
    </row>
    <row r="16" spans="1:27" s="393" customFormat="1" outlineLevel="2" x14ac:dyDescent="0.25">
      <c r="A16" s="393">
        <v>10054</v>
      </c>
      <c r="B16" s="459" t="s">
        <v>543</v>
      </c>
      <c r="C16" s="461">
        <f>310*23</f>
        <v>7130</v>
      </c>
      <c r="D16" s="439" t="s">
        <v>501</v>
      </c>
      <c r="E16" s="438"/>
      <c r="F16" s="437"/>
      <c r="G16" s="437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2"/>
      <c r="U16" s="392"/>
      <c r="V16" s="392"/>
      <c r="W16" s="392"/>
      <c r="X16" s="392"/>
      <c r="Y16" s="392"/>
      <c r="Z16" s="392"/>
      <c r="AA16" s="392"/>
    </row>
    <row r="17" spans="1:28" s="393" customFormat="1" outlineLevel="2" x14ac:dyDescent="0.25">
      <c r="A17" s="393">
        <v>10055</v>
      </c>
      <c r="B17" s="459" t="s">
        <v>544</v>
      </c>
      <c r="C17" s="461">
        <f>315*23</f>
        <v>7245</v>
      </c>
      <c r="D17" s="439" t="s">
        <v>501</v>
      </c>
      <c r="E17" s="438"/>
      <c r="F17" s="437"/>
      <c r="G17" s="437"/>
      <c r="H17" s="392"/>
      <c r="I17" s="392"/>
      <c r="J17" s="392"/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  <c r="W17" s="392"/>
      <c r="X17" s="392"/>
      <c r="Y17" s="392"/>
      <c r="Z17" s="392"/>
      <c r="AA17" s="392"/>
    </row>
    <row r="18" spans="1:28" s="393" customFormat="1" outlineLevel="2" x14ac:dyDescent="0.25">
      <c r="B18" s="459" t="s">
        <v>545</v>
      </c>
      <c r="C18" s="461">
        <f>320*23</f>
        <v>7360</v>
      </c>
      <c r="D18" s="439" t="s">
        <v>501</v>
      </c>
      <c r="E18" s="438"/>
      <c r="F18" s="437"/>
      <c r="G18" s="437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</row>
    <row r="19" spans="1:28" s="393" customFormat="1" outlineLevel="2" x14ac:dyDescent="0.25">
      <c r="B19" s="459" t="s">
        <v>546</v>
      </c>
      <c r="C19" s="461">
        <f>335*23</f>
        <v>7705</v>
      </c>
      <c r="D19" s="439" t="s">
        <v>501</v>
      </c>
      <c r="E19" s="438"/>
      <c r="F19" s="437"/>
      <c r="G19" s="437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</row>
    <row r="20" spans="1:28" s="393" customFormat="1" outlineLevel="2" x14ac:dyDescent="0.25">
      <c r="B20" s="459" t="s">
        <v>547</v>
      </c>
      <c r="C20" s="461">
        <f>340*23</f>
        <v>7820</v>
      </c>
      <c r="D20" s="439" t="s">
        <v>501</v>
      </c>
      <c r="E20" s="438"/>
      <c r="F20" s="437"/>
      <c r="G20" s="437"/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</row>
    <row r="21" spans="1:28" s="393" customFormat="1" outlineLevel="2" x14ac:dyDescent="0.25">
      <c r="A21" s="393">
        <v>10057</v>
      </c>
      <c r="B21" s="459" t="s">
        <v>548</v>
      </c>
      <c r="C21" s="461">
        <f>345*23</f>
        <v>7935</v>
      </c>
      <c r="D21" s="439" t="s">
        <v>501</v>
      </c>
      <c r="E21" s="438"/>
      <c r="F21" s="437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</row>
    <row r="22" spans="1:28" s="393" customFormat="1" outlineLevel="2" x14ac:dyDescent="0.25">
      <c r="A22" s="393">
        <v>10058</v>
      </c>
      <c r="B22" s="459" t="s">
        <v>549</v>
      </c>
      <c r="C22" s="461">
        <f>350*23</f>
        <v>8050</v>
      </c>
      <c r="D22" s="439" t="s">
        <v>501</v>
      </c>
      <c r="E22" s="438"/>
      <c r="F22" s="437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</row>
    <row r="23" spans="1:28" s="393" customFormat="1" outlineLevel="2" x14ac:dyDescent="0.25">
      <c r="A23" s="393">
        <v>10059</v>
      </c>
      <c r="B23" s="459" t="s">
        <v>550</v>
      </c>
      <c r="C23" s="461">
        <f>355*23</f>
        <v>8165</v>
      </c>
      <c r="D23" s="439" t="s">
        <v>501</v>
      </c>
      <c r="E23" s="438"/>
      <c r="F23" s="437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  <c r="AA23" s="392"/>
      <c r="AB23" s="392"/>
    </row>
    <row r="24" spans="1:28" s="393" customFormat="1" outlineLevel="2" x14ac:dyDescent="0.25">
      <c r="A24" s="393">
        <v>10060</v>
      </c>
      <c r="B24" s="459" t="s">
        <v>551</v>
      </c>
      <c r="C24" s="461">
        <f>360*23</f>
        <v>8280</v>
      </c>
      <c r="D24" s="439" t="s">
        <v>501</v>
      </c>
      <c r="E24" s="438"/>
      <c r="F24" s="437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  <c r="AA24" s="392"/>
      <c r="AB24" s="392"/>
    </row>
    <row r="25" spans="1:28" s="393" customFormat="1" outlineLevel="2" x14ac:dyDescent="0.25">
      <c r="A25" s="393">
        <v>10061</v>
      </c>
      <c r="B25" s="459" t="s">
        <v>552</v>
      </c>
      <c r="C25" s="461">
        <f>360*23</f>
        <v>8280</v>
      </c>
      <c r="D25" s="439" t="s">
        <v>501</v>
      </c>
      <c r="E25" s="438"/>
      <c r="F25" s="437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</row>
    <row r="26" spans="1:28" s="393" customFormat="1" outlineLevel="2" x14ac:dyDescent="0.25">
      <c r="A26" s="393">
        <v>10062</v>
      </c>
      <c r="B26" s="459" t="s">
        <v>553</v>
      </c>
      <c r="C26" s="461">
        <f>365*23</f>
        <v>8395</v>
      </c>
      <c r="D26" s="439" t="s">
        <v>501</v>
      </c>
      <c r="E26" s="438"/>
      <c r="F26" s="437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  <c r="AA26" s="392"/>
      <c r="AB26" s="392"/>
    </row>
    <row r="27" spans="1:28" s="393" customFormat="1" outlineLevel="2" x14ac:dyDescent="0.25">
      <c r="A27" s="393">
        <v>10063</v>
      </c>
      <c r="B27" s="459" t="s">
        <v>554</v>
      </c>
      <c r="C27" s="461">
        <f>370*23</f>
        <v>8510</v>
      </c>
      <c r="D27" s="439" t="s">
        <v>501</v>
      </c>
      <c r="E27" s="438"/>
      <c r="F27" s="437"/>
      <c r="G27" s="392"/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  <c r="X27" s="392"/>
      <c r="Y27" s="392"/>
      <c r="Z27" s="392"/>
      <c r="AA27" s="392"/>
      <c r="AB27" s="392"/>
    </row>
    <row r="28" spans="1:28" s="393" customFormat="1" outlineLevel="2" x14ac:dyDescent="0.25">
      <c r="A28" s="393">
        <v>10064</v>
      </c>
      <c r="B28" s="459" t="s">
        <v>555</v>
      </c>
      <c r="C28" s="461">
        <f>375*23</f>
        <v>8625</v>
      </c>
      <c r="D28" s="439" t="s">
        <v>501</v>
      </c>
      <c r="E28" s="438"/>
      <c r="F28" s="437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</row>
    <row r="29" spans="1:28" s="393" customFormat="1" outlineLevel="2" x14ac:dyDescent="0.25">
      <c r="B29" s="459" t="s">
        <v>556</v>
      </c>
      <c r="C29" s="461">
        <f>380*23</f>
        <v>8740</v>
      </c>
      <c r="D29" s="439" t="s">
        <v>501</v>
      </c>
      <c r="E29" s="438"/>
      <c r="F29" s="437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</row>
    <row r="30" spans="1:28" s="393" customFormat="1" outlineLevel="2" x14ac:dyDescent="0.25">
      <c r="B30" s="459" t="s">
        <v>557</v>
      </c>
      <c r="C30" s="461">
        <f>385*23</f>
        <v>8855</v>
      </c>
      <c r="D30" s="439" t="s">
        <v>501</v>
      </c>
      <c r="E30" s="438"/>
      <c r="F30" s="437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</row>
    <row r="31" spans="1:28" s="393" customFormat="1" outlineLevel="2" x14ac:dyDescent="0.25">
      <c r="B31" s="459" t="s">
        <v>558</v>
      </c>
      <c r="C31" s="461">
        <f>390*23</f>
        <v>8970</v>
      </c>
      <c r="D31" s="439" t="s">
        <v>501</v>
      </c>
      <c r="E31" s="438"/>
      <c r="F31" s="437"/>
      <c r="G31" s="392"/>
      <c r="H31" s="392"/>
      <c r="I31" s="392"/>
      <c r="J31" s="392"/>
      <c r="K31" s="392"/>
      <c r="L31" s="392"/>
      <c r="M31" s="392"/>
      <c r="N31" s="392"/>
      <c r="O31" s="392"/>
      <c r="P31" s="392"/>
      <c r="Q31" s="392"/>
      <c r="R31" s="392"/>
      <c r="S31" s="392"/>
      <c r="T31" s="392"/>
      <c r="U31" s="392"/>
      <c r="V31" s="392"/>
      <c r="W31" s="392"/>
      <c r="X31" s="392"/>
      <c r="Y31" s="392"/>
      <c r="Z31" s="392"/>
      <c r="AA31" s="392"/>
      <c r="AB31" s="392"/>
    </row>
    <row r="32" spans="1:28" s="393" customFormat="1" outlineLevel="2" x14ac:dyDescent="0.25">
      <c r="B32" s="459" t="s">
        <v>559</v>
      </c>
      <c r="C32" s="461">
        <f>395*23</f>
        <v>9085</v>
      </c>
      <c r="D32" s="439" t="s">
        <v>501</v>
      </c>
      <c r="E32" s="438"/>
      <c r="F32" s="437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2"/>
      <c r="V32" s="392"/>
      <c r="W32" s="392"/>
      <c r="X32" s="392"/>
      <c r="Y32" s="392"/>
      <c r="Z32" s="392"/>
      <c r="AA32" s="392"/>
      <c r="AB32" s="392"/>
    </row>
    <row r="33" spans="1:28" s="393" customFormat="1" outlineLevel="2" x14ac:dyDescent="0.25">
      <c r="B33" s="460" t="s">
        <v>505</v>
      </c>
      <c r="C33" s="462">
        <v>25609.833333333336</v>
      </c>
      <c r="D33" s="439" t="s">
        <v>501</v>
      </c>
      <c r="E33" s="438"/>
      <c r="F33" s="437"/>
      <c r="G33" s="392"/>
      <c r="H33" s="392"/>
      <c r="I33" s="392"/>
      <c r="J33" s="392"/>
      <c r="K33" s="392"/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  <c r="AA33" s="392"/>
      <c r="AB33" s="392"/>
    </row>
    <row r="34" spans="1:28" s="393" customFormat="1" outlineLevel="2" x14ac:dyDescent="0.25">
      <c r="B34" s="460" t="s">
        <v>506</v>
      </c>
      <c r="C34" s="462">
        <v>25914.833333333336</v>
      </c>
      <c r="D34" s="439" t="s">
        <v>501</v>
      </c>
      <c r="E34" s="438"/>
      <c r="F34" s="437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</row>
    <row r="35" spans="1:28" s="393" customFormat="1" outlineLevel="2" x14ac:dyDescent="0.25">
      <c r="B35" s="460" t="s">
        <v>507</v>
      </c>
      <c r="C35" s="462">
        <v>26219.833333333336</v>
      </c>
      <c r="D35" s="439" t="s">
        <v>501</v>
      </c>
      <c r="E35" s="438"/>
      <c r="F35" s="437"/>
      <c r="G35" s="392"/>
      <c r="H35" s="392"/>
      <c r="I35" s="392"/>
      <c r="J35" s="392"/>
      <c r="K35" s="392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92"/>
      <c r="X35" s="392"/>
      <c r="Y35" s="392"/>
      <c r="Z35" s="392"/>
      <c r="AA35" s="392"/>
      <c r="AB35" s="392"/>
    </row>
    <row r="36" spans="1:28" s="393" customFormat="1" outlineLevel="2" x14ac:dyDescent="0.25">
      <c r="A36" s="393">
        <v>10068</v>
      </c>
      <c r="B36" s="460" t="s">
        <v>508</v>
      </c>
      <c r="C36" s="462">
        <v>26524.833333333336</v>
      </c>
      <c r="D36" s="439" t="s">
        <v>501</v>
      </c>
      <c r="E36" s="438"/>
      <c r="F36" s="437"/>
      <c r="G36" s="392"/>
      <c r="H36" s="392"/>
      <c r="I36" s="392"/>
      <c r="J36" s="392"/>
      <c r="K36" s="392"/>
      <c r="L36" s="392"/>
      <c r="M36" s="392"/>
      <c r="N36" s="392"/>
      <c r="O36" s="392"/>
      <c r="P36" s="392"/>
      <c r="Q36" s="392"/>
      <c r="R36" s="392"/>
      <c r="S36" s="392"/>
      <c r="T36" s="392"/>
      <c r="U36" s="392"/>
      <c r="V36" s="392"/>
      <c r="W36" s="392"/>
      <c r="X36" s="392"/>
      <c r="Y36" s="392"/>
      <c r="Z36" s="392"/>
      <c r="AA36" s="392"/>
      <c r="AB36" s="392"/>
    </row>
    <row r="37" spans="1:28" s="393" customFormat="1" outlineLevel="2" x14ac:dyDescent="0.25">
      <c r="A37" s="393">
        <v>10069</v>
      </c>
      <c r="B37" s="460" t="s">
        <v>509</v>
      </c>
      <c r="C37" s="462">
        <v>26829.833333333336</v>
      </c>
      <c r="D37" s="439" t="s">
        <v>501</v>
      </c>
      <c r="E37" s="438"/>
      <c r="F37" s="437"/>
      <c r="G37" s="392"/>
      <c r="H37" s="392"/>
      <c r="I37" s="392"/>
      <c r="J37" s="392"/>
      <c r="K37" s="392"/>
      <c r="L37" s="392"/>
      <c r="M37" s="392"/>
      <c r="N37" s="392"/>
      <c r="O37" s="392"/>
      <c r="P37" s="392"/>
      <c r="Q37" s="392"/>
      <c r="R37" s="392"/>
      <c r="S37" s="392"/>
      <c r="T37" s="392"/>
      <c r="U37" s="392"/>
      <c r="V37" s="392"/>
      <c r="W37" s="392"/>
      <c r="X37" s="392"/>
      <c r="Y37" s="392"/>
      <c r="Z37" s="392"/>
      <c r="AA37" s="392"/>
      <c r="AB37" s="392"/>
    </row>
    <row r="38" spans="1:28" s="393" customFormat="1" outlineLevel="2" x14ac:dyDescent="0.25">
      <c r="B38" s="460" t="s">
        <v>560</v>
      </c>
      <c r="C38" s="462">
        <v>17443.838159999999</v>
      </c>
      <c r="D38" s="439" t="s">
        <v>501</v>
      </c>
      <c r="E38" s="438"/>
      <c r="F38" s="437"/>
      <c r="G38" s="392"/>
      <c r="H38" s="392"/>
      <c r="I38" s="392"/>
      <c r="J38" s="392"/>
      <c r="K38" s="392"/>
      <c r="L38" s="392"/>
      <c r="M38" s="392"/>
      <c r="N38" s="392"/>
      <c r="O38" s="392"/>
      <c r="P38" s="392"/>
      <c r="Q38" s="392"/>
      <c r="R38" s="392"/>
      <c r="S38" s="392"/>
      <c r="T38" s="392"/>
      <c r="U38" s="392"/>
      <c r="V38" s="392"/>
      <c r="W38" s="392"/>
      <c r="X38" s="392"/>
      <c r="Y38" s="392"/>
      <c r="Z38" s="392"/>
      <c r="AA38" s="392"/>
      <c r="AB38" s="392"/>
    </row>
    <row r="39" spans="1:28" s="393" customFormat="1" outlineLevel="2" x14ac:dyDescent="0.25">
      <c r="B39" s="460" t="s">
        <v>561</v>
      </c>
      <c r="C39" s="462">
        <v>17605.355179999995</v>
      </c>
      <c r="D39" s="439" t="s">
        <v>501</v>
      </c>
      <c r="E39" s="438"/>
      <c r="F39" s="437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2"/>
      <c r="S39" s="392"/>
      <c r="T39" s="392"/>
      <c r="U39" s="392"/>
      <c r="V39" s="392"/>
      <c r="W39" s="392"/>
      <c r="X39" s="392"/>
      <c r="Y39" s="392"/>
      <c r="Z39" s="392"/>
      <c r="AA39" s="392"/>
      <c r="AB39" s="392"/>
    </row>
    <row r="40" spans="1:28" outlineLevel="1" x14ac:dyDescent="0.25">
      <c r="B40" s="460" t="s">
        <v>562</v>
      </c>
      <c r="C40" s="462">
        <v>17766.872199999998</v>
      </c>
      <c r="D40" s="439" t="s">
        <v>501</v>
      </c>
      <c r="E40" s="438"/>
      <c r="F40" s="437"/>
    </row>
    <row r="41" spans="1:28" outlineLevel="3" x14ac:dyDescent="0.25">
      <c r="A41" s="392">
        <v>10084</v>
      </c>
      <c r="B41" s="460" t="s">
        <v>563</v>
      </c>
      <c r="C41" s="462">
        <v>17928.389220000001</v>
      </c>
      <c r="D41" s="442" t="s">
        <v>504</v>
      </c>
      <c r="E41" s="438"/>
      <c r="F41" s="437"/>
    </row>
    <row r="42" spans="1:28" outlineLevel="3" x14ac:dyDescent="0.25">
      <c r="A42" s="392">
        <v>10085</v>
      </c>
      <c r="B42" s="460" t="s">
        <v>564</v>
      </c>
      <c r="C42" s="462">
        <v>18089.90624</v>
      </c>
      <c r="D42" s="439" t="s">
        <v>501</v>
      </c>
      <c r="E42" s="438"/>
      <c r="F42" s="437"/>
    </row>
    <row r="43" spans="1:28" outlineLevel="3" x14ac:dyDescent="0.25">
      <c r="A43" s="392">
        <v>10086</v>
      </c>
      <c r="B43" s="460" t="s">
        <v>565</v>
      </c>
      <c r="C43" s="462">
        <v>18251.423259999996</v>
      </c>
      <c r="D43" s="439" t="s">
        <v>501</v>
      </c>
      <c r="E43" s="438"/>
      <c r="F43" s="437"/>
    </row>
    <row r="44" spans="1:28" outlineLevel="3" x14ac:dyDescent="0.25">
      <c r="A44" s="392">
        <v>10087</v>
      </c>
      <c r="B44" s="460" t="s">
        <v>566</v>
      </c>
      <c r="C44" s="462">
        <v>18412.940279999999</v>
      </c>
      <c r="D44" s="446" t="s">
        <v>511</v>
      </c>
      <c r="E44" s="438"/>
      <c r="F44" s="437"/>
    </row>
    <row r="45" spans="1:28" outlineLevel="3" x14ac:dyDescent="0.25">
      <c r="A45" s="392">
        <v>10088</v>
      </c>
      <c r="B45" s="460" t="s">
        <v>567</v>
      </c>
      <c r="C45" s="462">
        <v>49275.799999999996</v>
      </c>
      <c r="D45" s="439" t="s">
        <v>501</v>
      </c>
      <c r="E45" s="438"/>
      <c r="F45" s="437"/>
    </row>
    <row r="46" spans="1:28" outlineLevel="3" x14ac:dyDescent="0.25">
      <c r="A46" s="392">
        <v>10089</v>
      </c>
      <c r="B46" s="460" t="s">
        <v>568</v>
      </c>
      <c r="C46" s="462">
        <v>53460.4</v>
      </c>
      <c r="D46" s="439" t="s">
        <v>501</v>
      </c>
      <c r="E46" s="438"/>
      <c r="F46" s="437"/>
    </row>
    <row r="47" spans="1:28" ht="15" customHeight="1" outlineLevel="3" x14ac:dyDescent="0.25">
      <c r="B47" s="460" t="s">
        <v>569</v>
      </c>
      <c r="C47" s="462">
        <v>61146.399999999987</v>
      </c>
      <c r="D47" s="439" t="s">
        <v>501</v>
      </c>
      <c r="E47" s="438"/>
      <c r="F47" s="437"/>
    </row>
    <row r="48" spans="1:28" ht="15" customHeight="1" outlineLevel="3" x14ac:dyDescent="0.25">
      <c r="B48" s="460" t="s">
        <v>581</v>
      </c>
      <c r="C48" s="462">
        <v>10810.359</v>
      </c>
      <c r="D48" s="442" t="s">
        <v>504</v>
      </c>
      <c r="E48" s="438"/>
      <c r="F48" s="437"/>
    </row>
    <row r="49" spans="2:6" ht="15" customHeight="1" outlineLevel="3" x14ac:dyDescent="0.25">
      <c r="B49" s="460" t="s">
        <v>582</v>
      </c>
      <c r="C49" s="462">
        <v>23078.333333333336</v>
      </c>
      <c r="D49" s="442" t="s">
        <v>504</v>
      </c>
      <c r="E49" s="438"/>
      <c r="F49" s="437"/>
    </row>
    <row r="50" spans="2:6" ht="15" customHeight="1" outlineLevel="3" x14ac:dyDescent="0.25">
      <c r="B50" s="460" t="s">
        <v>582</v>
      </c>
      <c r="C50" s="462">
        <v>23078.333333333336</v>
      </c>
      <c r="D50" s="442" t="s">
        <v>504</v>
      </c>
      <c r="E50" s="438"/>
      <c r="F50" s="437"/>
    </row>
    <row r="51" spans="2:6" ht="15" customHeight="1" outlineLevel="3" x14ac:dyDescent="0.25">
      <c r="B51" s="460" t="s">
        <v>605</v>
      </c>
      <c r="C51" s="462">
        <v>16000</v>
      </c>
      <c r="D51" s="442" t="s">
        <v>504</v>
      </c>
      <c r="E51" s="438"/>
      <c r="F51" s="437"/>
    </row>
    <row r="52" spans="2:6" ht="15" customHeight="1" outlineLevel="3" x14ac:dyDescent="0.25">
      <c r="B52" s="460" t="s">
        <v>606</v>
      </c>
      <c r="C52" s="462">
        <v>16500</v>
      </c>
      <c r="D52" s="442" t="s">
        <v>504</v>
      </c>
      <c r="E52" s="438"/>
      <c r="F52" s="437"/>
    </row>
    <row r="53" spans="2:6" ht="15" customHeight="1" outlineLevel="3" x14ac:dyDescent="0.25">
      <c r="B53" s="460" t="s">
        <v>607</v>
      </c>
      <c r="C53" s="462">
        <v>16500</v>
      </c>
      <c r="D53" s="442" t="s">
        <v>504</v>
      </c>
      <c r="E53" s="438"/>
      <c r="F53" s="437"/>
    </row>
    <row r="54" spans="2:6" ht="15" customHeight="1" outlineLevel="3" x14ac:dyDescent="0.25">
      <c r="B54" s="460" t="s">
        <v>608</v>
      </c>
      <c r="C54" s="462">
        <v>10500</v>
      </c>
      <c r="D54" s="616" t="s">
        <v>609</v>
      </c>
      <c r="E54" s="438"/>
      <c r="F54" s="437"/>
    </row>
    <row r="55" spans="2:6" ht="15" customHeight="1" outlineLevel="3" x14ac:dyDescent="0.25">
      <c r="B55" s="463" t="s">
        <v>521</v>
      </c>
      <c r="C55" s="454"/>
      <c r="D55" s="455"/>
      <c r="E55" s="438"/>
      <c r="F55" s="437"/>
    </row>
    <row r="56" spans="2:6" ht="15" customHeight="1" outlineLevel="3" x14ac:dyDescent="0.25">
      <c r="B56" s="456" t="s">
        <v>522</v>
      </c>
      <c r="C56" s="441">
        <v>345000</v>
      </c>
      <c r="D56" s="458" t="s">
        <v>537</v>
      </c>
      <c r="E56" s="438"/>
      <c r="F56" s="437"/>
    </row>
    <row r="57" spans="2:6" ht="15" customHeight="1" outlineLevel="3" x14ac:dyDescent="0.25">
      <c r="B57" s="456" t="s">
        <v>523</v>
      </c>
      <c r="C57" s="441">
        <v>545000</v>
      </c>
      <c r="D57" s="458" t="s">
        <v>538</v>
      </c>
      <c r="E57" s="438"/>
      <c r="F57" s="437"/>
    </row>
    <row r="58" spans="2:6" ht="15" customHeight="1" outlineLevel="3" x14ac:dyDescent="0.25">
      <c r="B58" s="456" t="s">
        <v>524</v>
      </c>
      <c r="C58" s="441">
        <v>650000</v>
      </c>
      <c r="D58" s="458" t="s">
        <v>537</v>
      </c>
      <c r="E58" s="438"/>
      <c r="F58" s="437"/>
    </row>
    <row r="59" spans="2:6" ht="15" customHeight="1" outlineLevel="3" x14ac:dyDescent="0.25">
      <c r="B59" s="456" t="s">
        <v>525</v>
      </c>
      <c r="C59" s="441">
        <v>700000</v>
      </c>
      <c r="D59" s="458" t="s">
        <v>537</v>
      </c>
      <c r="E59" s="438"/>
      <c r="F59" s="437"/>
    </row>
    <row r="60" spans="2:6" ht="15" customHeight="1" outlineLevel="3" x14ac:dyDescent="0.25">
      <c r="B60" s="456" t="s">
        <v>526</v>
      </c>
      <c r="C60" s="441">
        <v>950000</v>
      </c>
      <c r="D60" s="458" t="s">
        <v>537</v>
      </c>
      <c r="E60" s="438"/>
      <c r="F60" s="437"/>
    </row>
    <row r="61" spans="2:6" ht="15" customHeight="1" outlineLevel="3" x14ac:dyDescent="0.25">
      <c r="B61" s="456" t="s">
        <v>527</v>
      </c>
      <c r="C61" s="457">
        <v>1150000</v>
      </c>
      <c r="D61" s="458" t="s">
        <v>537</v>
      </c>
      <c r="E61" s="438"/>
      <c r="F61" s="437"/>
    </row>
    <row r="62" spans="2:6" ht="15" customHeight="1" outlineLevel="3" x14ac:dyDescent="0.25">
      <c r="B62" s="456" t="s">
        <v>528</v>
      </c>
      <c r="C62" s="441">
        <v>1035000</v>
      </c>
      <c r="D62" s="458" t="s">
        <v>537</v>
      </c>
      <c r="E62" s="438"/>
      <c r="F62" s="437"/>
    </row>
    <row r="63" spans="2:6" ht="15" customHeight="1" outlineLevel="3" x14ac:dyDescent="0.25">
      <c r="B63" s="456" t="s">
        <v>529</v>
      </c>
      <c r="C63" s="441">
        <v>1235000</v>
      </c>
      <c r="D63" s="458" t="s">
        <v>537</v>
      </c>
      <c r="E63" s="438"/>
      <c r="F63" s="437"/>
    </row>
    <row r="64" spans="2:6" ht="15" customHeight="1" outlineLevel="3" x14ac:dyDescent="0.25">
      <c r="B64" s="456" t="s">
        <v>530</v>
      </c>
      <c r="C64" s="441">
        <v>1035000</v>
      </c>
      <c r="D64" s="458" t="s">
        <v>537</v>
      </c>
      <c r="E64" s="438"/>
      <c r="F64" s="437"/>
    </row>
    <row r="65" spans="1:7" ht="15" customHeight="1" outlineLevel="1" x14ac:dyDescent="0.25">
      <c r="B65" s="456" t="s">
        <v>531</v>
      </c>
      <c r="C65" s="441">
        <v>1235000</v>
      </c>
      <c r="D65" s="458" t="s">
        <v>537</v>
      </c>
      <c r="E65" s="438"/>
      <c r="F65" s="437"/>
    </row>
    <row r="66" spans="1:7" ht="15" customHeight="1" outlineLevel="3" x14ac:dyDescent="0.25">
      <c r="A66" s="392">
        <v>10122</v>
      </c>
      <c r="B66" s="456" t="s">
        <v>532</v>
      </c>
      <c r="C66" s="441">
        <v>1500000</v>
      </c>
      <c r="D66" s="458" t="s">
        <v>537</v>
      </c>
      <c r="E66" s="438"/>
      <c r="F66" s="437"/>
    </row>
    <row r="67" spans="1:7" ht="15" customHeight="1" outlineLevel="3" x14ac:dyDescent="0.25">
      <c r="B67" s="456" t="s">
        <v>533</v>
      </c>
      <c r="C67" s="441">
        <v>1700000</v>
      </c>
      <c r="D67" s="458" t="s">
        <v>537</v>
      </c>
      <c r="E67" s="438"/>
      <c r="F67" s="437"/>
    </row>
    <row r="68" spans="1:7" ht="15" customHeight="1" outlineLevel="3" x14ac:dyDescent="0.25">
      <c r="B68" s="456" t="s">
        <v>534</v>
      </c>
      <c r="C68" s="441">
        <v>1900000</v>
      </c>
      <c r="D68" s="458" t="s">
        <v>537</v>
      </c>
      <c r="E68" s="438"/>
      <c r="F68" s="437"/>
    </row>
    <row r="69" spans="1:7" ht="15" customHeight="1" outlineLevel="3" x14ac:dyDescent="0.25">
      <c r="B69" s="456" t="s">
        <v>535</v>
      </c>
      <c r="C69" s="441">
        <v>2650000</v>
      </c>
      <c r="D69" s="458" t="s">
        <v>537</v>
      </c>
      <c r="E69" s="438"/>
      <c r="F69" s="437"/>
    </row>
    <row r="70" spans="1:7" ht="15" customHeight="1" outlineLevel="3" x14ac:dyDescent="0.25">
      <c r="B70" s="456" t="s">
        <v>536</v>
      </c>
      <c r="C70" s="441">
        <v>3050000</v>
      </c>
      <c r="D70" s="458" t="s">
        <v>537</v>
      </c>
      <c r="E70" s="438"/>
      <c r="F70" s="437"/>
      <c r="G70" s="443"/>
    </row>
    <row r="71" spans="1:7" ht="15" customHeight="1" outlineLevel="3" x14ac:dyDescent="0.25">
      <c r="B71" s="444" t="s">
        <v>589</v>
      </c>
      <c r="C71" s="444"/>
      <c r="D71" s="445"/>
      <c r="E71" s="438"/>
      <c r="F71" s="437"/>
    </row>
    <row r="72" spans="1:7" x14ac:dyDescent="0.25">
      <c r="B72" s="465" t="s">
        <v>585</v>
      </c>
      <c r="C72" s="462">
        <v>63403.262921348243</v>
      </c>
      <c r="D72" s="466" t="s">
        <v>503</v>
      </c>
    </row>
    <row r="73" spans="1:7" x14ac:dyDescent="0.25">
      <c r="B73" s="465" t="s">
        <v>570</v>
      </c>
      <c r="C73" s="462">
        <v>64800</v>
      </c>
      <c r="D73" s="466" t="s">
        <v>503</v>
      </c>
    </row>
    <row r="74" spans="1:7" x14ac:dyDescent="0.25">
      <c r="B74" s="465" t="s">
        <v>571</v>
      </c>
      <c r="C74" s="462">
        <v>76500</v>
      </c>
      <c r="D74" s="466" t="s">
        <v>503</v>
      </c>
    </row>
    <row r="75" spans="1:7" x14ac:dyDescent="0.25">
      <c r="B75" s="465" t="s">
        <v>572</v>
      </c>
      <c r="C75" s="462">
        <v>175594.66913333329</v>
      </c>
      <c r="D75" s="466" t="s">
        <v>503</v>
      </c>
    </row>
    <row r="76" spans="1:7" x14ac:dyDescent="0.25">
      <c r="B76" s="465" t="s">
        <v>573</v>
      </c>
      <c r="C76" s="462">
        <v>106500</v>
      </c>
      <c r="D76" s="466" t="s">
        <v>503</v>
      </c>
    </row>
    <row r="77" spans="1:7" x14ac:dyDescent="0.25">
      <c r="B77" s="465" t="s">
        <v>574</v>
      </c>
      <c r="C77" s="462">
        <v>117000</v>
      </c>
      <c r="D77" s="466" t="s">
        <v>503</v>
      </c>
    </row>
    <row r="78" spans="1:7" x14ac:dyDescent="0.25">
      <c r="B78" s="465" t="s">
        <v>575</v>
      </c>
      <c r="C78" s="462">
        <v>124500</v>
      </c>
      <c r="D78" s="466" t="s">
        <v>503</v>
      </c>
    </row>
    <row r="79" spans="1:7" x14ac:dyDescent="0.25">
      <c r="B79" s="465" t="s">
        <v>576</v>
      </c>
      <c r="C79" s="462">
        <v>159000</v>
      </c>
      <c r="D79" s="466" t="s">
        <v>503</v>
      </c>
    </row>
    <row r="80" spans="1:7" x14ac:dyDescent="0.25">
      <c r="B80" s="465" t="s">
        <v>584</v>
      </c>
      <c r="C80" s="462">
        <v>249083.33333333331</v>
      </c>
      <c r="D80" s="466" t="s">
        <v>503</v>
      </c>
    </row>
    <row r="81" spans="2:4" x14ac:dyDescent="0.25">
      <c r="B81" s="465" t="s">
        <v>577</v>
      </c>
      <c r="C81" s="462">
        <v>374093.22758620605</v>
      </c>
      <c r="D81" s="466" t="s">
        <v>503</v>
      </c>
    </row>
    <row r="82" spans="2:4" x14ac:dyDescent="0.25">
      <c r="B82" s="465" t="s">
        <v>583</v>
      </c>
      <c r="C82" s="462">
        <v>405650</v>
      </c>
      <c r="D82" s="466" t="s">
        <v>503</v>
      </c>
    </row>
    <row r="83" spans="2:4" x14ac:dyDescent="0.25">
      <c r="B83" s="469" t="s">
        <v>590</v>
      </c>
      <c r="C83" s="467"/>
      <c r="D83" s="468"/>
    </row>
    <row r="84" spans="2:4" x14ac:dyDescent="0.25">
      <c r="B84" s="465" t="s">
        <v>578</v>
      </c>
      <c r="C84" s="462">
        <v>155566.53777777776</v>
      </c>
      <c r="D84" s="466" t="s">
        <v>503</v>
      </c>
    </row>
    <row r="85" spans="2:4" x14ac:dyDescent="0.25">
      <c r="B85" s="465" t="s">
        <v>586</v>
      </c>
      <c r="C85" s="462">
        <v>142333.33333333334</v>
      </c>
      <c r="D85" s="466" t="s">
        <v>503</v>
      </c>
    </row>
    <row r="86" spans="2:4" x14ac:dyDescent="0.25">
      <c r="B86" s="465" t="s">
        <v>587</v>
      </c>
      <c r="C86" s="462">
        <v>234849.99999999997</v>
      </c>
      <c r="D86" s="466" t="s">
        <v>503</v>
      </c>
    </row>
    <row r="87" spans="2:4" x14ac:dyDescent="0.25">
      <c r="B87" s="465" t="s">
        <v>588</v>
      </c>
      <c r="C87" s="462">
        <v>290360</v>
      </c>
      <c r="D87" s="466" t="s">
        <v>503</v>
      </c>
    </row>
    <row r="88" spans="2:4" x14ac:dyDescent="0.25">
      <c r="B88" s="465" t="s">
        <v>579</v>
      </c>
      <c r="C88" s="462">
        <v>370500</v>
      </c>
      <c r="D88" s="466" t="s">
        <v>503</v>
      </c>
    </row>
    <row r="89" spans="2:4" x14ac:dyDescent="0.25">
      <c r="B89" s="465" t="s">
        <v>580</v>
      </c>
      <c r="C89" s="462">
        <v>456000</v>
      </c>
      <c r="D89" s="466" t="s">
        <v>503</v>
      </c>
    </row>
    <row r="91" spans="2:4" x14ac:dyDescent="0.25">
      <c r="B91" s="476" t="s">
        <v>591</v>
      </c>
      <c r="C91" s="477"/>
      <c r="D91" s="477"/>
    </row>
    <row r="92" spans="2:4" x14ac:dyDescent="0.25">
      <c r="B92" s="470" t="s">
        <v>604</v>
      </c>
      <c r="C92" s="472">
        <v>132369.99999999997</v>
      </c>
      <c r="D92" s="474" t="s">
        <v>502</v>
      </c>
    </row>
    <row r="93" spans="2:4" x14ac:dyDescent="0.25">
      <c r="B93" s="465" t="s">
        <v>592</v>
      </c>
      <c r="C93" s="462">
        <v>426363.17220000003</v>
      </c>
      <c r="D93" s="475" t="s">
        <v>502</v>
      </c>
    </row>
    <row r="94" spans="2:4" x14ac:dyDescent="0.25">
      <c r="B94" s="465" t="s">
        <v>593</v>
      </c>
      <c r="C94" s="462">
        <v>160290.35147999998</v>
      </c>
      <c r="D94" s="475" t="s">
        <v>502</v>
      </c>
    </row>
    <row r="95" spans="2:4" x14ac:dyDescent="0.25">
      <c r="B95" s="465" t="s">
        <v>594</v>
      </c>
      <c r="C95" s="464">
        <v>13521.666666666668</v>
      </c>
      <c r="D95" s="475" t="s">
        <v>502</v>
      </c>
    </row>
    <row r="96" spans="2:4" x14ac:dyDescent="0.25">
      <c r="B96" s="476" t="s">
        <v>595</v>
      </c>
      <c r="C96" s="477"/>
      <c r="D96" s="477"/>
    </row>
    <row r="97" spans="2:4" x14ac:dyDescent="0.25">
      <c r="B97" s="470" t="s">
        <v>596</v>
      </c>
      <c r="C97" s="472">
        <v>181081.34015999996</v>
      </c>
      <c r="D97" s="474" t="s">
        <v>502</v>
      </c>
    </row>
    <row r="98" spans="2:4" x14ac:dyDescent="0.25">
      <c r="B98" s="470" t="s">
        <v>597</v>
      </c>
      <c r="C98" s="472">
        <v>121996.97439999998</v>
      </c>
      <c r="D98" s="474" t="s">
        <v>502</v>
      </c>
    </row>
    <row r="99" spans="2:4" x14ac:dyDescent="0.25">
      <c r="B99" s="470" t="s">
        <v>598</v>
      </c>
      <c r="C99" s="472">
        <v>171967.95886666668</v>
      </c>
      <c r="D99" s="474" t="s">
        <v>502</v>
      </c>
    </row>
    <row r="100" spans="2:4" x14ac:dyDescent="0.25">
      <c r="B100" s="471" t="s">
        <v>599</v>
      </c>
      <c r="C100" s="473">
        <v>202413.40615999998</v>
      </c>
      <c r="D100" s="440" t="s">
        <v>502</v>
      </c>
    </row>
    <row r="101" spans="2:4" x14ac:dyDescent="0.25">
      <c r="B101" s="481" t="s">
        <v>600</v>
      </c>
      <c r="C101" s="445"/>
      <c r="D101" s="445"/>
    </row>
    <row r="102" spans="2:4" x14ac:dyDescent="0.25">
      <c r="B102" s="478" t="s">
        <v>601</v>
      </c>
      <c r="C102" s="479">
        <v>200</v>
      </c>
      <c r="D102" s="480" t="s">
        <v>603</v>
      </c>
    </row>
    <row r="103" spans="2:4" x14ac:dyDescent="0.25">
      <c r="B103" s="478" t="s">
        <v>602</v>
      </c>
      <c r="C103" s="479">
        <v>200</v>
      </c>
      <c r="D103" s="480" t="s">
        <v>603</v>
      </c>
    </row>
  </sheetData>
  <autoFilter ref="B1:B71" xr:uid="{00000000-0009-0000-0000-000001000000}"/>
  <pageMargins left="0.7" right="0.7" top="0.75" bottom="0.75" header="0.3" footer="0.3"/>
  <pageSetup paperSize="9" scale="2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8"/>
  <dimension ref="B1:G58"/>
  <sheetViews>
    <sheetView topLeftCell="A16" zoomScaleNormal="100" workbookViewId="0">
      <selection activeCell="D8" sqref="D8"/>
    </sheetView>
  </sheetViews>
  <sheetFormatPr defaultRowHeight="15" x14ac:dyDescent="0.25"/>
  <cols>
    <col min="2" max="2" width="4.140625" bestFit="1" customWidth="1"/>
    <col min="3" max="3" width="36.85546875" customWidth="1"/>
    <col min="4" max="4" width="32" bestFit="1" customWidth="1"/>
    <col min="5" max="5" width="30.42578125" customWidth="1"/>
    <col min="6" max="6" width="16" customWidth="1"/>
  </cols>
  <sheetData>
    <row r="1" spans="2:7" ht="15.75" thickBot="1" x14ac:dyDescent="0.3"/>
    <row r="2" spans="2:7" ht="48" thickBot="1" x14ac:dyDescent="0.3">
      <c r="B2" s="5">
        <v>1</v>
      </c>
      <c r="C2" s="6" t="s">
        <v>1</v>
      </c>
      <c r="D2" s="7" t="s">
        <v>2</v>
      </c>
      <c r="E2" s="7" t="s">
        <v>3</v>
      </c>
      <c r="F2" s="6">
        <v>8</v>
      </c>
      <c r="G2" s="9"/>
    </row>
    <row r="3" spans="2:7" ht="32.25" thickBot="1" x14ac:dyDescent="0.3">
      <c r="B3" s="11">
        <v>2</v>
      </c>
      <c r="C3" s="12"/>
      <c r="D3" s="12" t="s">
        <v>4</v>
      </c>
      <c r="E3" s="12" t="s">
        <v>5</v>
      </c>
      <c r="F3" s="13">
        <v>1</v>
      </c>
      <c r="G3" s="9"/>
    </row>
    <row r="4" spans="2:7" ht="48" thickBot="1" x14ac:dyDescent="0.3">
      <c r="B4" s="11" t="s">
        <v>6</v>
      </c>
      <c r="C4" s="12" t="s">
        <v>7</v>
      </c>
      <c r="D4" s="12" t="s">
        <v>8</v>
      </c>
      <c r="E4" s="12" t="s">
        <v>9</v>
      </c>
      <c r="F4" s="13">
        <v>3</v>
      </c>
      <c r="G4" s="9"/>
    </row>
    <row r="5" spans="2:7" ht="48" thickBot="1" x14ac:dyDescent="0.3">
      <c r="B5" s="11" t="s">
        <v>10</v>
      </c>
      <c r="C5" s="14" t="s">
        <v>11</v>
      </c>
      <c r="D5" s="12" t="s">
        <v>12</v>
      </c>
      <c r="E5" s="12" t="s">
        <v>13</v>
      </c>
      <c r="F5" s="13">
        <v>1</v>
      </c>
      <c r="G5" s="9"/>
    </row>
    <row r="6" spans="2:7" ht="32.25" thickBot="1" x14ac:dyDescent="0.3">
      <c r="B6" s="11" t="s">
        <v>14</v>
      </c>
      <c r="C6" s="14" t="s">
        <v>15</v>
      </c>
      <c r="D6" s="12" t="s">
        <v>16</v>
      </c>
      <c r="E6" s="12" t="s">
        <v>17</v>
      </c>
      <c r="F6" s="13">
        <v>1</v>
      </c>
      <c r="G6" s="9"/>
    </row>
    <row r="7" spans="2:7" ht="32.25" thickBot="1" x14ac:dyDescent="0.3">
      <c r="B7" s="11" t="s">
        <v>18</v>
      </c>
      <c r="C7" s="322" t="s">
        <v>19</v>
      </c>
      <c r="D7" s="323" t="s">
        <v>20</v>
      </c>
      <c r="E7" s="323" t="s">
        <v>21</v>
      </c>
      <c r="F7" s="324">
        <v>4</v>
      </c>
      <c r="G7" s="9"/>
    </row>
    <row r="8" spans="2:7" ht="32.25" thickBot="1" x14ac:dyDescent="0.3">
      <c r="B8" s="11" t="s">
        <v>22</v>
      </c>
      <c r="C8" s="14" t="s">
        <v>23</v>
      </c>
      <c r="D8" s="12" t="s">
        <v>24</v>
      </c>
      <c r="E8" s="12" t="s">
        <v>25</v>
      </c>
      <c r="F8" s="13">
        <v>3</v>
      </c>
      <c r="G8" s="9"/>
    </row>
    <row r="9" spans="2:7" ht="32.25" thickBot="1" x14ac:dyDescent="0.3">
      <c r="B9" s="11" t="s">
        <v>26</v>
      </c>
      <c r="C9" s="13"/>
      <c r="D9" s="12" t="s">
        <v>27</v>
      </c>
      <c r="E9" s="12" t="s">
        <v>27</v>
      </c>
      <c r="F9" s="13">
        <v>1</v>
      </c>
      <c r="G9" s="9"/>
    </row>
    <row r="10" spans="2:7" ht="32.25" thickBot="1" x14ac:dyDescent="0.3">
      <c r="B10" s="11" t="s">
        <v>28</v>
      </c>
      <c r="C10" s="13"/>
      <c r="D10" s="12" t="s">
        <v>29</v>
      </c>
      <c r="E10" s="12" t="s">
        <v>29</v>
      </c>
      <c r="F10" s="13">
        <v>1</v>
      </c>
      <c r="G10" s="9"/>
    </row>
    <row r="11" spans="2:7" ht="16.5" thickBot="1" x14ac:dyDescent="0.3">
      <c r="B11" s="11" t="s">
        <v>30</v>
      </c>
      <c r="C11" s="13"/>
      <c r="D11" s="12" t="s">
        <v>31</v>
      </c>
      <c r="E11" s="12" t="s">
        <v>31</v>
      </c>
      <c r="F11" s="13">
        <v>1</v>
      </c>
      <c r="G11" s="9"/>
    </row>
    <row r="12" spans="2:7" ht="17.25" thickBot="1" x14ac:dyDescent="0.3">
      <c r="B12" s="15"/>
      <c r="C12" s="16"/>
      <c r="D12" s="17" t="s">
        <v>32</v>
      </c>
      <c r="E12" s="16"/>
      <c r="F12" s="16"/>
      <c r="G12" s="9"/>
    </row>
    <row r="13" spans="2:7" ht="15.75" thickBot="1" x14ac:dyDescent="0.3">
      <c r="B13" s="8"/>
      <c r="C13" s="8"/>
      <c r="D13" s="8"/>
      <c r="E13" s="8"/>
      <c r="F13" s="8"/>
      <c r="G13" s="9"/>
    </row>
    <row r="14" spans="2:7" ht="47.25" customHeight="1" x14ac:dyDescent="0.25">
      <c r="B14" s="508" t="s">
        <v>33</v>
      </c>
      <c r="C14" s="502" t="s">
        <v>34</v>
      </c>
      <c r="D14" s="502" t="s">
        <v>35</v>
      </c>
      <c r="E14" s="502" t="s">
        <v>36</v>
      </c>
      <c r="F14" s="502" t="s">
        <v>37</v>
      </c>
      <c r="G14" s="9"/>
    </row>
    <row r="15" spans="2:7" ht="15.75" thickBot="1" x14ac:dyDescent="0.3">
      <c r="B15" s="509"/>
      <c r="C15" s="503"/>
      <c r="D15" s="503"/>
      <c r="E15" s="503"/>
      <c r="F15" s="503"/>
      <c r="G15" s="9"/>
    </row>
    <row r="16" spans="2:7" ht="16.5" thickBot="1" x14ac:dyDescent="0.3">
      <c r="B16" s="18"/>
      <c r="C16" s="19"/>
      <c r="D16" s="504" t="s">
        <v>38</v>
      </c>
      <c r="E16" s="505"/>
      <c r="F16" s="20"/>
      <c r="G16" s="9"/>
    </row>
    <row r="17" spans="2:7" ht="16.5" thickBot="1" x14ac:dyDescent="0.3">
      <c r="B17" s="18"/>
      <c r="C17" s="19"/>
      <c r="D17" s="506" t="s">
        <v>39</v>
      </c>
      <c r="E17" s="507"/>
      <c r="F17" s="21"/>
      <c r="G17" s="9"/>
    </row>
    <row r="18" spans="2:7" ht="48" thickBot="1" x14ac:dyDescent="0.3">
      <c r="B18" s="11">
        <v>1</v>
      </c>
      <c r="C18" s="13" t="s">
        <v>1</v>
      </c>
      <c r="D18" s="12" t="s">
        <v>2</v>
      </c>
      <c r="E18" s="12" t="s">
        <v>3</v>
      </c>
      <c r="F18" s="13">
        <v>10</v>
      </c>
      <c r="G18" s="9"/>
    </row>
    <row r="19" spans="2:7" ht="32.25" thickBot="1" x14ac:dyDescent="0.3">
      <c r="B19" s="11">
        <v>2</v>
      </c>
      <c r="C19" s="14" t="s">
        <v>40</v>
      </c>
      <c r="D19" s="14" t="s">
        <v>4</v>
      </c>
      <c r="E19" s="14" t="s">
        <v>41</v>
      </c>
      <c r="F19" s="13">
        <v>1</v>
      </c>
      <c r="G19" s="9"/>
    </row>
    <row r="20" spans="2:7" ht="48" thickBot="1" x14ac:dyDescent="0.3">
      <c r="B20" s="11" t="s">
        <v>6</v>
      </c>
      <c r="C20" s="14" t="s">
        <v>7</v>
      </c>
      <c r="D20" s="14" t="s">
        <v>8</v>
      </c>
      <c r="E20" s="14" t="s">
        <v>9</v>
      </c>
      <c r="F20" s="13">
        <v>3</v>
      </c>
      <c r="G20" s="9"/>
    </row>
    <row r="21" spans="2:7" ht="48" thickBot="1" x14ac:dyDescent="0.3">
      <c r="B21" s="11" t="s">
        <v>10</v>
      </c>
      <c r="C21" s="14" t="s">
        <v>42</v>
      </c>
      <c r="D21" s="14" t="s">
        <v>12</v>
      </c>
      <c r="E21" s="14" t="s">
        <v>43</v>
      </c>
      <c r="F21" s="13">
        <v>1</v>
      </c>
      <c r="G21" s="9"/>
    </row>
    <row r="22" spans="2:7" ht="32.25" thickBot="1" x14ac:dyDescent="0.3">
      <c r="B22" s="11" t="s">
        <v>14</v>
      </c>
      <c r="C22" s="14" t="s">
        <v>15</v>
      </c>
      <c r="D22" s="14" t="s">
        <v>16</v>
      </c>
      <c r="E22" s="14" t="s">
        <v>17</v>
      </c>
      <c r="F22" s="13">
        <v>1</v>
      </c>
      <c r="G22" s="9"/>
    </row>
    <row r="23" spans="2:7" ht="48" thickBot="1" x14ac:dyDescent="0.3">
      <c r="B23" s="11" t="s">
        <v>18</v>
      </c>
      <c r="C23" s="322" t="s">
        <v>19</v>
      </c>
      <c r="D23" s="322" t="s">
        <v>44</v>
      </c>
      <c r="E23" s="322" t="s">
        <v>45</v>
      </c>
      <c r="F23" s="324">
        <v>4</v>
      </c>
      <c r="G23" s="9"/>
    </row>
    <row r="24" spans="2:7" ht="32.25" thickBot="1" x14ac:dyDescent="0.3">
      <c r="B24" s="11" t="s">
        <v>22</v>
      </c>
      <c r="C24" s="14" t="s">
        <v>23</v>
      </c>
      <c r="D24" s="14" t="s">
        <v>24</v>
      </c>
      <c r="E24" s="14" t="s">
        <v>25</v>
      </c>
      <c r="F24" s="13">
        <v>3</v>
      </c>
      <c r="G24" s="9"/>
    </row>
    <row r="25" spans="2:7" ht="32.25" thickBot="1" x14ac:dyDescent="0.3">
      <c r="B25" s="11" t="s">
        <v>26</v>
      </c>
      <c r="C25" s="14"/>
      <c r="D25" s="14" t="s">
        <v>27</v>
      </c>
      <c r="E25" s="14" t="s">
        <v>27</v>
      </c>
      <c r="F25" s="13">
        <v>1</v>
      </c>
      <c r="G25" s="9"/>
    </row>
    <row r="26" spans="2:7" ht="32.25" thickBot="1" x14ac:dyDescent="0.3">
      <c r="B26" s="11" t="s">
        <v>28</v>
      </c>
      <c r="C26" s="14"/>
      <c r="D26" s="14" t="s">
        <v>29</v>
      </c>
      <c r="E26" s="14" t="s">
        <v>29</v>
      </c>
      <c r="F26" s="13">
        <v>1</v>
      </c>
      <c r="G26" s="9"/>
    </row>
    <row r="27" spans="2:7" ht="16.5" thickBot="1" x14ac:dyDescent="0.3">
      <c r="B27" s="11" t="s">
        <v>30</v>
      </c>
      <c r="C27" s="13"/>
      <c r="D27" s="12" t="s">
        <v>31</v>
      </c>
      <c r="E27" s="12" t="s">
        <v>31</v>
      </c>
      <c r="F27" s="13">
        <v>1</v>
      </c>
      <c r="G27" s="9"/>
    </row>
    <row r="28" spans="2:7" ht="17.25" thickBot="1" x14ac:dyDescent="0.3">
      <c r="B28" s="22"/>
      <c r="C28" s="23"/>
      <c r="D28" s="17" t="s">
        <v>32</v>
      </c>
      <c r="E28" s="23"/>
      <c r="F28" s="23"/>
      <c r="G28" s="9"/>
    </row>
    <row r="29" spans="2:7" ht="15.75" thickBot="1" x14ac:dyDescent="0.3">
      <c r="B29" s="8"/>
      <c r="C29" s="8"/>
      <c r="D29" s="8"/>
      <c r="E29" s="8"/>
      <c r="F29" s="8"/>
      <c r="G29" s="9"/>
    </row>
    <row r="30" spans="2:7" ht="47.25" customHeight="1" x14ac:dyDescent="0.25">
      <c r="B30" s="508" t="s">
        <v>33</v>
      </c>
      <c r="C30" s="502" t="s">
        <v>34</v>
      </c>
      <c r="D30" s="502" t="s">
        <v>35</v>
      </c>
      <c r="E30" s="502" t="s">
        <v>36</v>
      </c>
      <c r="F30" s="502" t="s">
        <v>37</v>
      </c>
      <c r="G30" s="9"/>
    </row>
    <row r="31" spans="2:7" ht="15.75" thickBot="1" x14ac:dyDescent="0.3">
      <c r="B31" s="509"/>
      <c r="C31" s="503"/>
      <c r="D31" s="503"/>
      <c r="E31" s="503"/>
      <c r="F31" s="503"/>
      <c r="G31" s="9"/>
    </row>
    <row r="32" spans="2:7" ht="16.5" thickBot="1" x14ac:dyDescent="0.3">
      <c r="B32" s="18"/>
      <c r="C32" s="19"/>
      <c r="D32" s="504" t="s">
        <v>46</v>
      </c>
      <c r="E32" s="505"/>
      <c r="F32" s="20"/>
      <c r="G32" s="9"/>
    </row>
    <row r="33" spans="2:7" ht="16.5" thickBot="1" x14ac:dyDescent="0.3">
      <c r="B33" s="18"/>
      <c r="C33" s="19"/>
      <c r="D33" s="506" t="s">
        <v>47</v>
      </c>
      <c r="E33" s="507"/>
      <c r="F33" s="21"/>
      <c r="G33" s="9"/>
    </row>
    <row r="34" spans="2:7" ht="32.25" thickBot="1" x14ac:dyDescent="0.3">
      <c r="B34" s="11">
        <v>1</v>
      </c>
      <c r="C34" s="13" t="s">
        <v>1</v>
      </c>
      <c r="D34" s="12" t="s">
        <v>2</v>
      </c>
      <c r="E34" s="12" t="s">
        <v>2</v>
      </c>
      <c r="F34" s="13">
        <v>18</v>
      </c>
      <c r="G34" s="9"/>
    </row>
    <row r="35" spans="2:7" ht="32.25" thickBot="1" x14ac:dyDescent="0.3">
      <c r="B35" s="11">
        <v>2</v>
      </c>
      <c r="C35" s="14" t="s">
        <v>48</v>
      </c>
      <c r="D35" s="12" t="s">
        <v>4</v>
      </c>
      <c r="E35" s="12" t="s">
        <v>49</v>
      </c>
      <c r="F35" s="13">
        <v>1</v>
      </c>
      <c r="G35" s="9"/>
    </row>
    <row r="36" spans="2:7" ht="63.75" thickBot="1" x14ac:dyDescent="0.3">
      <c r="B36" s="11" t="s">
        <v>6</v>
      </c>
      <c r="C36" s="14" t="s">
        <v>50</v>
      </c>
      <c r="D36" s="12" t="s">
        <v>8</v>
      </c>
      <c r="E36" s="12" t="s">
        <v>51</v>
      </c>
      <c r="F36" s="13">
        <v>3</v>
      </c>
      <c r="G36" s="9"/>
    </row>
    <row r="37" spans="2:7" ht="48" thickBot="1" x14ac:dyDescent="0.3">
      <c r="B37" s="11" t="s">
        <v>10</v>
      </c>
      <c r="C37" s="13" t="s">
        <v>42</v>
      </c>
      <c r="D37" s="12" t="s">
        <v>12</v>
      </c>
      <c r="E37" s="12" t="s">
        <v>43</v>
      </c>
      <c r="F37" s="13">
        <v>2</v>
      </c>
      <c r="G37" s="9"/>
    </row>
    <row r="38" spans="2:7" ht="32.25" thickBot="1" x14ac:dyDescent="0.3">
      <c r="B38" s="11" t="s">
        <v>14</v>
      </c>
      <c r="C38" s="14" t="s">
        <v>15</v>
      </c>
      <c r="D38" s="14" t="s">
        <v>16</v>
      </c>
      <c r="E38" s="14" t="s">
        <v>17</v>
      </c>
      <c r="F38" s="13">
        <v>1</v>
      </c>
      <c r="G38" s="9"/>
    </row>
    <row r="39" spans="2:7" ht="32.25" thickBot="1" x14ac:dyDescent="0.3">
      <c r="B39" s="11" t="s">
        <v>18</v>
      </c>
      <c r="C39" s="14" t="s">
        <v>52</v>
      </c>
      <c r="D39" s="14" t="s">
        <v>44</v>
      </c>
      <c r="E39" s="14" t="s">
        <v>53</v>
      </c>
      <c r="F39" s="13">
        <v>24</v>
      </c>
      <c r="G39" s="9"/>
    </row>
    <row r="40" spans="2:7" ht="32.25" thickBot="1" x14ac:dyDescent="0.3">
      <c r="B40" s="11" t="s">
        <v>22</v>
      </c>
      <c r="C40" s="14"/>
      <c r="D40" s="14" t="s">
        <v>27</v>
      </c>
      <c r="E40" s="14" t="s">
        <v>27</v>
      </c>
      <c r="F40" s="13">
        <v>1</v>
      </c>
      <c r="G40" s="9"/>
    </row>
    <row r="41" spans="2:7" ht="32.25" thickBot="1" x14ac:dyDescent="0.3">
      <c r="B41" s="11" t="s">
        <v>26</v>
      </c>
      <c r="C41" s="14"/>
      <c r="D41" s="14" t="s">
        <v>29</v>
      </c>
      <c r="E41" s="14" t="s">
        <v>29</v>
      </c>
      <c r="F41" s="13">
        <v>1</v>
      </c>
      <c r="G41" s="9"/>
    </row>
    <row r="42" spans="2:7" ht="16.5" thickBot="1" x14ac:dyDescent="0.3">
      <c r="B42" s="11" t="s">
        <v>28</v>
      </c>
      <c r="C42" s="14"/>
      <c r="D42" s="14" t="s">
        <v>31</v>
      </c>
      <c r="E42" s="14" t="s">
        <v>31</v>
      </c>
      <c r="F42" s="13">
        <v>1</v>
      </c>
      <c r="G42" s="9"/>
    </row>
    <row r="43" spans="2:7" ht="17.25" thickBot="1" x14ac:dyDescent="0.3">
      <c r="B43" s="22"/>
      <c r="C43" s="23"/>
      <c r="D43" s="17" t="s">
        <v>32</v>
      </c>
      <c r="E43" s="23"/>
      <c r="F43" s="23"/>
      <c r="G43" s="9"/>
    </row>
    <row r="44" spans="2:7" ht="15.75" thickBot="1" x14ac:dyDescent="0.3">
      <c r="B44" s="8"/>
      <c r="C44" s="8"/>
      <c r="D44" s="8"/>
      <c r="E44" s="8"/>
      <c r="F44" s="8"/>
      <c r="G44" s="9"/>
    </row>
    <row r="45" spans="2:7" ht="47.25" customHeight="1" x14ac:dyDescent="0.25">
      <c r="B45" s="508" t="s">
        <v>33</v>
      </c>
      <c r="C45" s="502" t="s">
        <v>34</v>
      </c>
      <c r="D45" s="502" t="s">
        <v>35</v>
      </c>
      <c r="E45" s="502" t="s">
        <v>36</v>
      </c>
      <c r="F45" s="502" t="s">
        <v>37</v>
      </c>
      <c r="G45" s="9"/>
    </row>
    <row r="46" spans="2:7" ht="15.75" thickBot="1" x14ac:dyDescent="0.3">
      <c r="B46" s="509"/>
      <c r="C46" s="503"/>
      <c r="D46" s="503"/>
      <c r="E46" s="503"/>
      <c r="F46" s="503"/>
      <c r="G46" s="9"/>
    </row>
    <row r="47" spans="2:7" ht="16.5" thickBot="1" x14ac:dyDescent="0.3">
      <c r="B47" s="18"/>
      <c r="C47" s="19"/>
      <c r="D47" s="504" t="s">
        <v>54</v>
      </c>
      <c r="E47" s="505"/>
      <c r="F47" s="20"/>
      <c r="G47" s="9"/>
    </row>
    <row r="48" spans="2:7" ht="16.5" thickBot="1" x14ac:dyDescent="0.3">
      <c r="B48" s="18"/>
      <c r="C48" s="19"/>
      <c r="D48" s="506" t="s">
        <v>55</v>
      </c>
      <c r="E48" s="507"/>
      <c r="F48" s="21"/>
      <c r="G48" s="9"/>
    </row>
    <row r="49" spans="2:7" ht="32.25" thickBot="1" x14ac:dyDescent="0.3">
      <c r="B49" s="11">
        <v>1</v>
      </c>
      <c r="C49" s="13" t="s">
        <v>1</v>
      </c>
      <c r="D49" s="12" t="s">
        <v>2</v>
      </c>
      <c r="E49" s="12" t="s">
        <v>2</v>
      </c>
      <c r="F49" s="13">
        <v>36</v>
      </c>
      <c r="G49" s="9"/>
    </row>
    <row r="50" spans="2:7" ht="32.25" thickBot="1" x14ac:dyDescent="0.3">
      <c r="B50" s="11">
        <v>2</v>
      </c>
      <c r="C50" s="14" t="s">
        <v>56</v>
      </c>
      <c r="D50" s="14" t="s">
        <v>57</v>
      </c>
      <c r="E50" s="14" t="s">
        <v>58</v>
      </c>
      <c r="F50" s="13">
        <v>1</v>
      </c>
      <c r="G50" s="9"/>
    </row>
    <row r="51" spans="2:7" ht="48" thickBot="1" x14ac:dyDescent="0.3">
      <c r="B51" s="11" t="s">
        <v>6</v>
      </c>
      <c r="C51" s="14" t="s">
        <v>59</v>
      </c>
      <c r="D51" s="14" t="s">
        <v>60</v>
      </c>
      <c r="E51" s="14" t="s">
        <v>61</v>
      </c>
      <c r="F51" s="13">
        <v>3</v>
      </c>
      <c r="G51" s="9"/>
    </row>
    <row r="52" spans="2:7" ht="48" thickBot="1" x14ac:dyDescent="0.3">
      <c r="B52" s="11" t="s">
        <v>10</v>
      </c>
      <c r="C52" s="13" t="s">
        <v>42</v>
      </c>
      <c r="D52" s="13" t="s">
        <v>12</v>
      </c>
      <c r="E52" s="13" t="s">
        <v>43</v>
      </c>
      <c r="F52" s="13">
        <v>3</v>
      </c>
      <c r="G52" s="9"/>
    </row>
    <row r="53" spans="2:7" ht="32.25" thickBot="1" x14ac:dyDescent="0.3">
      <c r="B53" s="11" t="s">
        <v>14</v>
      </c>
      <c r="C53" s="14" t="s">
        <v>15</v>
      </c>
      <c r="D53" s="14" t="s">
        <v>16</v>
      </c>
      <c r="E53" s="14" t="s">
        <v>17</v>
      </c>
      <c r="F53" s="13">
        <v>1</v>
      </c>
      <c r="G53" s="9"/>
    </row>
    <row r="54" spans="2:7" ht="32.25" thickBot="1" x14ac:dyDescent="0.3">
      <c r="B54" s="11" t="s">
        <v>18</v>
      </c>
      <c r="C54" s="14" t="s">
        <v>52</v>
      </c>
      <c r="D54" s="14" t="s">
        <v>62</v>
      </c>
      <c r="E54" s="14" t="s">
        <v>63</v>
      </c>
      <c r="F54" s="13">
        <v>24</v>
      </c>
      <c r="G54" s="9"/>
    </row>
    <row r="55" spans="2:7" ht="32.25" thickBot="1" x14ac:dyDescent="0.3">
      <c r="B55" s="11" t="s">
        <v>22</v>
      </c>
      <c r="C55" s="13"/>
      <c r="D55" s="14" t="s">
        <v>27</v>
      </c>
      <c r="E55" s="14" t="s">
        <v>27</v>
      </c>
      <c r="F55" s="13">
        <v>1</v>
      </c>
      <c r="G55" s="9"/>
    </row>
    <row r="56" spans="2:7" ht="32.25" thickBot="1" x14ac:dyDescent="0.3">
      <c r="B56" s="11" t="s">
        <v>26</v>
      </c>
      <c r="C56" s="13"/>
      <c r="D56" s="14" t="s">
        <v>29</v>
      </c>
      <c r="E56" s="14" t="s">
        <v>29</v>
      </c>
      <c r="F56" s="13">
        <v>1</v>
      </c>
      <c r="G56" s="9"/>
    </row>
    <row r="57" spans="2:7" ht="16.5" thickBot="1" x14ac:dyDescent="0.3">
      <c r="B57" s="11" t="s">
        <v>28</v>
      </c>
      <c r="C57" s="13"/>
      <c r="D57" s="14" t="s">
        <v>31</v>
      </c>
      <c r="E57" s="14" t="s">
        <v>31</v>
      </c>
      <c r="F57" s="13">
        <v>1</v>
      </c>
      <c r="G57" s="9"/>
    </row>
    <row r="58" spans="2:7" ht="17.25" thickBot="1" x14ac:dyDescent="0.3">
      <c r="B58" s="22"/>
      <c r="C58" s="23"/>
      <c r="D58" s="17" t="s">
        <v>32</v>
      </c>
      <c r="E58" s="23"/>
      <c r="F58" s="23"/>
      <c r="G58" s="9"/>
    </row>
  </sheetData>
  <mergeCells count="21">
    <mergeCell ref="F30:F31"/>
    <mergeCell ref="B14:B15"/>
    <mergeCell ref="C14:C15"/>
    <mergeCell ref="D14:D15"/>
    <mergeCell ref="E14:E15"/>
    <mergeCell ref="F14:F15"/>
    <mergeCell ref="D16:E16"/>
    <mergeCell ref="B45:B46"/>
    <mergeCell ref="C45:C46"/>
    <mergeCell ref="D45:D46"/>
    <mergeCell ref="E45:E46"/>
    <mergeCell ref="D17:E17"/>
    <mergeCell ref="B30:B31"/>
    <mergeCell ref="C30:C31"/>
    <mergeCell ref="D30:D31"/>
    <mergeCell ref="E30:E31"/>
    <mergeCell ref="F45:F46"/>
    <mergeCell ref="D47:E47"/>
    <mergeCell ref="D48:E48"/>
    <mergeCell ref="D32:E32"/>
    <mergeCell ref="D33:E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9"/>
  <dimension ref="A1:N48"/>
  <sheetViews>
    <sheetView workbookViewId="0">
      <selection activeCell="C16" sqref="C16"/>
    </sheetView>
  </sheetViews>
  <sheetFormatPr defaultColWidth="8.85546875" defaultRowHeight="15" x14ac:dyDescent="0.25"/>
  <cols>
    <col min="1" max="1" width="2" style="3" customWidth="1"/>
    <col min="2" max="2" width="6.5703125" style="3" customWidth="1"/>
    <col min="3" max="3" width="96.5703125" style="3" bestFit="1" customWidth="1"/>
    <col min="4" max="4" width="16.42578125" style="4" bestFit="1" customWidth="1"/>
    <col min="5" max="5" width="7.42578125" style="3" bestFit="1" customWidth="1"/>
    <col min="6" max="6" width="17.5703125" style="3" customWidth="1"/>
    <col min="7" max="7" width="16.5703125" style="3" customWidth="1"/>
    <col min="8" max="8" width="10.140625" style="3" customWidth="1"/>
    <col min="9" max="9" width="18.140625" style="3" bestFit="1" customWidth="1"/>
    <col min="10" max="10" width="2.5703125" style="3" customWidth="1"/>
    <col min="11" max="11" width="20.5703125" style="3" bestFit="1" customWidth="1"/>
    <col min="12" max="12" width="11" style="3" bestFit="1" customWidth="1"/>
    <col min="13" max="13" width="16.140625" style="3" customWidth="1"/>
    <col min="14" max="14" width="13.42578125" style="3" bestFit="1" customWidth="1"/>
    <col min="15" max="16384" width="8.85546875" style="3"/>
  </cols>
  <sheetData>
    <row r="1" spans="2:13" ht="15.75" thickBot="1" x14ac:dyDescent="0.3"/>
    <row r="2" spans="2:13" ht="27" thickBot="1" x14ac:dyDescent="0.3">
      <c r="C2" s="114" t="s">
        <v>162</v>
      </c>
      <c r="D2" s="115">
        <v>8</v>
      </c>
      <c r="E2" s="115" t="s">
        <v>64</v>
      </c>
      <c r="F2" s="3">
        <v>1</v>
      </c>
      <c r="G2" s="3" t="s">
        <v>128</v>
      </c>
      <c r="H2" s="3">
        <v>8</v>
      </c>
      <c r="I2" s="3" t="s">
        <v>129</v>
      </c>
      <c r="K2" s="510" t="s">
        <v>67</v>
      </c>
      <c r="L2" s="511"/>
    </row>
    <row r="3" spans="2:13" ht="45.75" thickBot="1" x14ac:dyDescent="0.3">
      <c r="B3" s="116" t="s">
        <v>33</v>
      </c>
      <c r="C3" s="117" t="s">
        <v>0</v>
      </c>
      <c r="D3" s="118" t="s">
        <v>68</v>
      </c>
      <c r="E3" s="119" t="s">
        <v>69</v>
      </c>
      <c r="F3" s="120" t="s">
        <v>70</v>
      </c>
      <c r="G3" s="120" t="s">
        <v>71</v>
      </c>
      <c r="H3" s="121" t="s">
        <v>72</v>
      </c>
      <c r="I3" s="122" t="s">
        <v>73</v>
      </c>
      <c r="K3" s="123" t="s">
        <v>74</v>
      </c>
      <c r="L3" s="124">
        <f>E4*310</f>
        <v>3720</v>
      </c>
    </row>
    <row r="4" spans="2:13" ht="15.75" thickBot="1" x14ac:dyDescent="0.3">
      <c r="B4" s="125">
        <v>1</v>
      </c>
      <c r="C4" s="126" t="s">
        <v>130</v>
      </c>
      <c r="D4" s="127" t="s">
        <v>75</v>
      </c>
      <c r="E4" s="128">
        <v>12</v>
      </c>
      <c r="F4" s="129">
        <f>310*0.6*$L$4</f>
        <v>12090</v>
      </c>
      <c r="G4" s="130">
        <f>E4*F4</f>
        <v>145080</v>
      </c>
      <c r="H4" s="131">
        <f t="shared" ref="H4:H34" si="0">G4/$L$3/$L$4</f>
        <v>0.6</v>
      </c>
      <c r="I4" s="132"/>
      <c r="K4" s="123" t="s">
        <v>76</v>
      </c>
      <c r="L4" s="133">
        <v>65</v>
      </c>
    </row>
    <row r="5" spans="2:13" ht="15.75" thickBot="1" x14ac:dyDescent="0.3">
      <c r="B5" s="134">
        <v>2</v>
      </c>
      <c r="C5" s="135" t="s">
        <v>131</v>
      </c>
      <c r="D5" s="1" t="s">
        <v>75</v>
      </c>
      <c r="E5" s="136">
        <v>3</v>
      </c>
      <c r="F5" s="137">
        <v>300000</v>
      </c>
      <c r="G5" s="138">
        <f>F5*E5</f>
        <v>900000</v>
      </c>
      <c r="H5" s="139">
        <f t="shared" si="0"/>
        <v>3.7220843672456576</v>
      </c>
      <c r="I5" s="140" t="s">
        <v>132</v>
      </c>
      <c r="K5" s="123" t="s">
        <v>77</v>
      </c>
      <c r="L5" s="141">
        <v>75</v>
      </c>
      <c r="M5" s="142"/>
    </row>
    <row r="6" spans="2:13" x14ac:dyDescent="0.25">
      <c r="B6" s="134">
        <v>3</v>
      </c>
      <c r="C6" s="135" t="s">
        <v>133</v>
      </c>
      <c r="D6" s="1" t="s">
        <v>75</v>
      </c>
      <c r="E6" s="136">
        <v>1</v>
      </c>
      <c r="F6" s="143">
        <v>44092</v>
      </c>
      <c r="G6" s="138">
        <f>F6*E6</f>
        <v>44092</v>
      </c>
      <c r="H6" s="144">
        <f t="shared" si="0"/>
        <v>0.18234904880066172</v>
      </c>
      <c r="I6" s="140" t="s">
        <v>132</v>
      </c>
      <c r="K6" s="145"/>
    </row>
    <row r="7" spans="2:13" x14ac:dyDescent="0.25">
      <c r="B7" s="134">
        <v>4</v>
      </c>
      <c r="C7" s="135" t="s">
        <v>102</v>
      </c>
      <c r="D7" s="1" t="s">
        <v>134</v>
      </c>
      <c r="E7" s="136">
        <v>1</v>
      </c>
      <c r="F7" s="137">
        <v>475000</v>
      </c>
      <c r="G7" s="138">
        <f t="shared" ref="G7:G22" si="1">F7*E7</f>
        <v>475000</v>
      </c>
      <c r="H7" s="139">
        <f t="shared" si="0"/>
        <v>1.9644334160463193</v>
      </c>
      <c r="I7" s="140" t="s">
        <v>132</v>
      </c>
      <c r="K7" s="145"/>
    </row>
    <row r="8" spans="2:13" ht="20.25" customHeight="1" x14ac:dyDescent="0.25">
      <c r="B8" s="134">
        <v>5</v>
      </c>
      <c r="C8" s="146" t="s">
        <v>135</v>
      </c>
      <c r="D8" s="1" t="s">
        <v>134</v>
      </c>
      <c r="E8" s="136">
        <v>1</v>
      </c>
      <c r="F8" s="137">
        <v>500000</v>
      </c>
      <c r="G8" s="138">
        <f t="shared" si="1"/>
        <v>500000</v>
      </c>
      <c r="H8" s="139">
        <f t="shared" si="0"/>
        <v>2.0678246484698097</v>
      </c>
      <c r="I8" s="140" t="s">
        <v>132</v>
      </c>
      <c r="K8" s="145"/>
    </row>
    <row r="9" spans="2:13" x14ac:dyDescent="0.25">
      <c r="B9" s="134">
        <v>6</v>
      </c>
      <c r="C9" s="147" t="s">
        <v>136</v>
      </c>
      <c r="D9" s="1" t="s">
        <v>75</v>
      </c>
      <c r="E9" s="136">
        <v>1</v>
      </c>
      <c r="F9" s="148">
        <v>67014</v>
      </c>
      <c r="G9" s="138">
        <f t="shared" si="1"/>
        <v>67014</v>
      </c>
      <c r="H9" s="139">
        <f t="shared" si="0"/>
        <v>0.2771464019851117</v>
      </c>
      <c r="I9" s="140" t="s">
        <v>132</v>
      </c>
      <c r="L9" s="149"/>
      <c r="M9" s="142"/>
    </row>
    <row r="10" spans="2:13" x14ac:dyDescent="0.25">
      <c r="B10" s="134">
        <v>7</v>
      </c>
      <c r="C10" s="2" t="s">
        <v>137</v>
      </c>
      <c r="D10" s="150"/>
      <c r="E10" s="151">
        <v>10</v>
      </c>
      <c r="F10" s="152">
        <v>830</v>
      </c>
      <c r="G10" s="138">
        <f t="shared" si="1"/>
        <v>8300</v>
      </c>
      <c r="H10" s="139">
        <f t="shared" si="0"/>
        <v>3.432588916459884E-2</v>
      </c>
      <c r="I10" s="140" t="s">
        <v>132</v>
      </c>
      <c r="L10" s="149"/>
      <c r="M10" s="142"/>
    </row>
    <row r="11" spans="2:13" x14ac:dyDescent="0.25">
      <c r="B11" s="134">
        <v>8</v>
      </c>
      <c r="C11" s="2" t="s">
        <v>138</v>
      </c>
      <c r="D11" s="150"/>
      <c r="E11" s="151">
        <v>1</v>
      </c>
      <c r="F11" s="152">
        <v>5720</v>
      </c>
      <c r="G11" s="138">
        <f t="shared" si="1"/>
        <v>5720</v>
      </c>
      <c r="H11" s="139">
        <f t="shared" si="0"/>
        <v>2.3655913978494623E-2</v>
      </c>
      <c r="I11" s="140" t="s">
        <v>132</v>
      </c>
      <c r="L11" s="149"/>
      <c r="M11" s="142"/>
    </row>
    <row r="12" spans="2:13" x14ac:dyDescent="0.25">
      <c r="B12" s="134">
        <v>9</v>
      </c>
      <c r="C12" s="2" t="s">
        <v>139</v>
      </c>
      <c r="D12" s="150"/>
      <c r="E12" s="151">
        <v>5</v>
      </c>
      <c r="F12" s="152">
        <v>690</v>
      </c>
      <c r="G12" s="138">
        <f t="shared" si="1"/>
        <v>3450</v>
      </c>
      <c r="H12" s="139">
        <f t="shared" si="0"/>
        <v>1.4267990074441687E-2</v>
      </c>
      <c r="I12" s="140" t="s">
        <v>132</v>
      </c>
      <c r="L12" s="149"/>
      <c r="M12" s="142"/>
    </row>
    <row r="13" spans="2:13" x14ac:dyDescent="0.25">
      <c r="B13" s="134">
        <v>10</v>
      </c>
      <c r="C13" s="2" t="s">
        <v>140</v>
      </c>
      <c r="D13" s="150"/>
      <c r="E13" s="151">
        <v>5</v>
      </c>
      <c r="F13" s="152">
        <v>670</v>
      </c>
      <c r="G13" s="138">
        <f t="shared" si="1"/>
        <v>3350</v>
      </c>
      <c r="H13" s="139">
        <f t="shared" si="0"/>
        <v>1.3854425144747724E-2</v>
      </c>
      <c r="I13" s="140" t="s">
        <v>132</v>
      </c>
      <c r="L13" s="149"/>
      <c r="M13" s="142"/>
    </row>
    <row r="14" spans="2:13" x14ac:dyDescent="0.25">
      <c r="B14" s="134">
        <v>11</v>
      </c>
      <c r="C14" s="2" t="s">
        <v>101</v>
      </c>
      <c r="D14" s="150"/>
      <c r="E14" s="151">
        <v>1</v>
      </c>
      <c r="F14" s="152">
        <v>65740</v>
      </c>
      <c r="G14" s="138">
        <f t="shared" si="1"/>
        <v>65740</v>
      </c>
      <c r="H14" s="139">
        <f t="shared" si="0"/>
        <v>0.27187758478081059</v>
      </c>
      <c r="I14" s="140" t="s">
        <v>132</v>
      </c>
      <c r="L14" s="149"/>
      <c r="M14" s="142"/>
    </row>
    <row r="15" spans="2:13" x14ac:dyDescent="0.25">
      <c r="B15" s="134">
        <v>12</v>
      </c>
      <c r="C15" s="2" t="s">
        <v>141</v>
      </c>
      <c r="D15" s="150"/>
      <c r="E15" s="151">
        <v>1</v>
      </c>
      <c r="F15" s="152">
        <v>245000</v>
      </c>
      <c r="G15" s="138">
        <f t="shared" si="1"/>
        <v>245000</v>
      </c>
      <c r="H15" s="139">
        <f t="shared" si="0"/>
        <v>1.0132340777502067</v>
      </c>
      <c r="I15" s="140" t="s">
        <v>132</v>
      </c>
      <c r="L15" s="149"/>
      <c r="M15" s="142"/>
    </row>
    <row r="16" spans="2:13" x14ac:dyDescent="0.25">
      <c r="B16" s="134">
        <v>13</v>
      </c>
      <c r="C16" s="2" t="s">
        <v>142</v>
      </c>
      <c r="D16" s="150"/>
      <c r="E16" s="151">
        <v>6</v>
      </c>
      <c r="F16" s="152">
        <v>1550</v>
      </c>
      <c r="G16" s="138">
        <f t="shared" si="1"/>
        <v>9300</v>
      </c>
      <c r="H16" s="139">
        <f t="shared" si="0"/>
        <v>3.8461538461538464E-2</v>
      </c>
      <c r="I16" s="140" t="s">
        <v>132</v>
      </c>
      <c r="L16" s="149"/>
      <c r="M16" s="142"/>
    </row>
    <row r="17" spans="2:14" x14ac:dyDescent="0.25">
      <c r="B17" s="134">
        <v>14</v>
      </c>
      <c r="C17" s="2" t="s">
        <v>143</v>
      </c>
      <c r="D17" s="150"/>
      <c r="E17" s="151">
        <v>6</v>
      </c>
      <c r="F17" s="152">
        <v>2530</v>
      </c>
      <c r="G17" s="138">
        <f t="shared" si="1"/>
        <v>15180</v>
      </c>
      <c r="H17" s="139">
        <f t="shared" si="0"/>
        <v>6.2779156327543426E-2</v>
      </c>
      <c r="I17" s="140" t="s">
        <v>132</v>
      </c>
      <c r="L17" s="149"/>
      <c r="M17" s="142"/>
    </row>
    <row r="18" spans="2:14" x14ac:dyDescent="0.25">
      <c r="B18" s="134">
        <v>15</v>
      </c>
      <c r="C18" s="2" t="s">
        <v>144</v>
      </c>
      <c r="D18" s="150"/>
      <c r="E18" s="151">
        <v>2</v>
      </c>
      <c r="F18" s="152">
        <v>4890</v>
      </c>
      <c r="G18" s="138">
        <f t="shared" si="1"/>
        <v>9780</v>
      </c>
      <c r="H18" s="139">
        <f t="shared" si="0"/>
        <v>4.0446650124069478E-2</v>
      </c>
      <c r="I18" s="140" t="s">
        <v>132</v>
      </c>
      <c r="L18" s="149"/>
      <c r="M18" s="142"/>
    </row>
    <row r="19" spans="2:14" x14ac:dyDescent="0.25">
      <c r="B19" s="134">
        <v>16</v>
      </c>
      <c r="C19" s="2" t="s">
        <v>145</v>
      </c>
      <c r="D19" s="150"/>
      <c r="E19" s="151">
        <v>1</v>
      </c>
      <c r="F19" s="152">
        <v>610</v>
      </c>
      <c r="G19" s="138">
        <f t="shared" si="1"/>
        <v>610</v>
      </c>
      <c r="H19" s="139">
        <f t="shared" si="0"/>
        <v>2.5227460711331677E-3</v>
      </c>
      <c r="I19" s="140" t="s">
        <v>132</v>
      </c>
      <c r="L19" s="149"/>
      <c r="M19" s="142"/>
    </row>
    <row r="20" spans="2:14" x14ac:dyDescent="0.25">
      <c r="B20" s="134">
        <v>17</v>
      </c>
      <c r="C20" s="2" t="s">
        <v>146</v>
      </c>
      <c r="D20" s="150"/>
      <c r="E20" s="151">
        <v>1</v>
      </c>
      <c r="F20" s="152">
        <v>3155</v>
      </c>
      <c r="G20" s="138">
        <f t="shared" si="1"/>
        <v>3155</v>
      </c>
      <c r="H20" s="139">
        <f t="shared" si="0"/>
        <v>1.30479735318445E-2</v>
      </c>
      <c r="I20" s="140" t="s">
        <v>132</v>
      </c>
      <c r="L20" s="149"/>
      <c r="M20" s="142"/>
    </row>
    <row r="21" spans="2:14" ht="15.75" thickBot="1" x14ac:dyDescent="0.3">
      <c r="B21" s="134">
        <v>18</v>
      </c>
      <c r="C21" s="2" t="s">
        <v>147</v>
      </c>
      <c r="D21" s="150"/>
      <c r="E21" s="151">
        <v>1</v>
      </c>
      <c r="F21" s="152">
        <v>94500</v>
      </c>
      <c r="G21" s="138">
        <f t="shared" si="1"/>
        <v>94500</v>
      </c>
      <c r="H21" s="139">
        <f t="shared" si="0"/>
        <v>0.39081885856079401</v>
      </c>
      <c r="I21" s="140" t="s">
        <v>132</v>
      </c>
      <c r="L21" s="149"/>
      <c r="M21" s="142"/>
    </row>
    <row r="22" spans="2:14" ht="14.1" customHeight="1" x14ac:dyDescent="0.25">
      <c r="B22" s="125">
        <v>9</v>
      </c>
      <c r="C22" s="153" t="s">
        <v>148</v>
      </c>
      <c r="D22" s="154"/>
      <c r="E22" s="155">
        <v>1</v>
      </c>
      <c r="F22" s="156">
        <f>40000+150000</f>
        <v>190000</v>
      </c>
      <c r="G22" s="157">
        <f t="shared" si="1"/>
        <v>190000</v>
      </c>
      <c r="H22" s="158">
        <f t="shared" si="0"/>
        <v>0.7857733664185278</v>
      </c>
      <c r="I22" s="159"/>
      <c r="J22" s="160"/>
    </row>
    <row r="23" spans="2:14" ht="14.1" customHeight="1" x14ac:dyDescent="0.25">
      <c r="B23" s="134">
        <v>10</v>
      </c>
      <c r="C23" s="161" t="s">
        <v>92</v>
      </c>
      <c r="D23" s="162"/>
      <c r="E23" s="163">
        <v>0</v>
      </c>
      <c r="F23" s="164">
        <v>0</v>
      </c>
      <c r="G23" s="165">
        <f>E23*F23</f>
        <v>0</v>
      </c>
      <c r="H23" s="166">
        <f t="shared" si="0"/>
        <v>0</v>
      </c>
      <c r="I23" s="167"/>
      <c r="J23" s="160"/>
    </row>
    <row r="24" spans="2:14" ht="14.1" customHeight="1" x14ac:dyDescent="0.25">
      <c r="B24" s="134">
        <v>11</v>
      </c>
      <c r="C24" s="168" t="s">
        <v>149</v>
      </c>
      <c r="D24" s="169"/>
      <c r="E24" s="136">
        <v>0</v>
      </c>
      <c r="F24" s="170">
        <v>0</v>
      </c>
      <c r="G24" s="138">
        <v>309200</v>
      </c>
      <c r="H24" s="139">
        <f>G24/$L$3/$L$4</f>
        <v>1.2787427626137304</v>
      </c>
      <c r="I24" s="140"/>
      <c r="J24" s="160"/>
      <c r="M24" s="142">
        <f>70*310</f>
        <v>21700</v>
      </c>
      <c r="N24" s="160">
        <f>M24*8</f>
        <v>173600</v>
      </c>
    </row>
    <row r="25" spans="2:14" ht="14.1" customHeight="1" x14ac:dyDescent="0.25">
      <c r="B25" s="134">
        <v>12</v>
      </c>
      <c r="C25" s="168" t="s">
        <v>150</v>
      </c>
      <c r="D25" s="169"/>
      <c r="E25" s="136"/>
      <c r="F25" s="170"/>
      <c r="G25" s="171">
        <f>(30000*2+1150*4+30000)*1.1*2</f>
        <v>208120.00000000003</v>
      </c>
      <c r="H25" s="139">
        <f>G25/$L$3/$L$4</f>
        <v>0.86071133167907377</v>
      </c>
      <c r="I25" s="140"/>
      <c r="J25" s="160"/>
      <c r="N25" s="160">
        <f>G4</f>
        <v>145080</v>
      </c>
    </row>
    <row r="26" spans="2:14" x14ac:dyDescent="0.25">
      <c r="B26" s="134">
        <v>13</v>
      </c>
      <c r="C26" s="168" t="s">
        <v>0</v>
      </c>
      <c r="D26" s="169"/>
      <c r="E26" s="172"/>
      <c r="F26" s="173"/>
      <c r="G26" s="138">
        <f>SUM(G5:G21)</f>
        <v>2450191</v>
      </c>
      <c r="H26" s="139">
        <f t="shared" si="0"/>
        <v>10.133130686517783</v>
      </c>
      <c r="I26" s="140"/>
      <c r="J26" s="160"/>
      <c r="N26" s="160">
        <f>N24-N25</f>
        <v>28520</v>
      </c>
    </row>
    <row r="27" spans="2:14" ht="15.75" thickBot="1" x14ac:dyDescent="0.3">
      <c r="B27" s="134">
        <v>14</v>
      </c>
      <c r="C27" s="174" t="s">
        <v>151</v>
      </c>
      <c r="D27" s="175" t="s">
        <v>86</v>
      </c>
      <c r="E27" s="176">
        <v>0</v>
      </c>
      <c r="F27" s="177"/>
      <c r="G27" s="178">
        <f>SUM(G22:G26)*E27</f>
        <v>0</v>
      </c>
      <c r="H27" s="179">
        <f t="shared" si="0"/>
        <v>0</v>
      </c>
      <c r="I27" s="180"/>
      <c r="J27" s="160"/>
    </row>
    <row r="28" spans="2:14" x14ac:dyDescent="0.25">
      <c r="C28" s="181" t="s">
        <v>152</v>
      </c>
      <c r="D28" s="182" t="s">
        <v>86</v>
      </c>
      <c r="E28" s="183">
        <v>0.8</v>
      </c>
      <c r="F28" s="184"/>
      <c r="G28" s="185">
        <f>G4*E28</f>
        <v>116064</v>
      </c>
      <c r="H28" s="186">
        <f t="shared" si="0"/>
        <v>0.48</v>
      </c>
      <c r="I28" s="187"/>
      <c r="J28" s="160"/>
    </row>
    <row r="29" spans="2:14" x14ac:dyDescent="0.25">
      <c r="C29" s="181" t="s">
        <v>153</v>
      </c>
      <c r="D29" s="182"/>
      <c r="E29" s="184"/>
      <c r="F29" s="184"/>
      <c r="G29" s="185">
        <f>G28+G4</f>
        <v>261144</v>
      </c>
      <c r="H29" s="186">
        <f>G29/$L$3/$L$4</f>
        <v>1.08</v>
      </c>
      <c r="I29" s="187">
        <f>H29*L4</f>
        <v>70.2</v>
      </c>
      <c r="J29" s="160"/>
    </row>
    <row r="30" spans="2:14" x14ac:dyDescent="0.25">
      <c r="C30" s="188" t="s">
        <v>154</v>
      </c>
      <c r="D30" s="1" t="s">
        <v>86</v>
      </c>
      <c r="E30" s="189">
        <v>0.1</v>
      </c>
      <c r="F30" s="190"/>
      <c r="G30" s="191">
        <f>(G27+G26+G24+G23+G22+G25)*E30</f>
        <v>315751.10000000003</v>
      </c>
      <c r="H30" s="186">
        <f t="shared" si="0"/>
        <v>1.3058358147229117</v>
      </c>
      <c r="I30" s="187"/>
      <c r="J30" s="160"/>
    </row>
    <row r="31" spans="2:14" x14ac:dyDescent="0.25">
      <c r="C31" s="188" t="s">
        <v>155</v>
      </c>
      <c r="D31" s="1"/>
      <c r="E31" s="192"/>
      <c r="F31" s="190"/>
      <c r="G31" s="191">
        <f>G30+G27+G26+G24+G23+G22+G25</f>
        <v>3473262.1</v>
      </c>
      <c r="H31" s="186">
        <f t="shared" si="0"/>
        <v>14.364193961952026</v>
      </c>
      <c r="I31" s="187"/>
      <c r="J31" s="160"/>
    </row>
    <row r="32" spans="2:14" x14ac:dyDescent="0.25">
      <c r="C32" s="188" t="s">
        <v>110</v>
      </c>
      <c r="D32" s="1"/>
      <c r="E32" s="192"/>
      <c r="F32" s="190"/>
      <c r="G32" s="191">
        <f>G31+G29</f>
        <v>3734406.1</v>
      </c>
      <c r="H32" s="186">
        <f t="shared" si="0"/>
        <v>15.444193961952028</v>
      </c>
      <c r="I32" s="187"/>
      <c r="J32" s="160"/>
    </row>
    <row r="33" spans="1:13" x14ac:dyDescent="0.25">
      <c r="C33" s="188" t="s">
        <v>90</v>
      </c>
      <c r="D33" s="1"/>
      <c r="E33" s="190"/>
      <c r="F33" s="190"/>
      <c r="G33" s="191">
        <f>G32*0.18</f>
        <v>672193.098</v>
      </c>
      <c r="H33" s="186">
        <f t="shared" si="0"/>
        <v>2.7799549131513648</v>
      </c>
      <c r="I33" s="187"/>
      <c r="J33" s="160"/>
    </row>
    <row r="34" spans="1:13" ht="15.75" thickBot="1" x14ac:dyDescent="0.3">
      <c r="C34" s="193" t="s">
        <v>91</v>
      </c>
      <c r="D34" s="194"/>
      <c r="E34" s="195"/>
      <c r="F34" s="195"/>
      <c r="G34" s="196">
        <f>G33+G32</f>
        <v>4406599.1979999999</v>
      </c>
      <c r="H34" s="186">
        <f t="shared" si="0"/>
        <v>18.224148875103392</v>
      </c>
      <c r="I34" s="187"/>
      <c r="J34" s="160"/>
      <c r="K34" s="197"/>
    </row>
    <row r="35" spans="1:13" ht="18" customHeight="1" x14ac:dyDescent="0.25">
      <c r="G35" s="198">
        <f>G34/L3</f>
        <v>1184.5696768817204</v>
      </c>
      <c r="I35" s="199"/>
      <c r="J35" s="160"/>
    </row>
    <row r="36" spans="1:13" ht="19.5" customHeight="1" x14ac:dyDescent="0.25">
      <c r="D36" s="200"/>
      <c r="F36" s="3" t="s">
        <v>156</v>
      </c>
      <c r="G36" s="160"/>
      <c r="J36" s="160"/>
    </row>
    <row r="37" spans="1:13" ht="18.75" x14ac:dyDescent="0.25">
      <c r="C37" s="201" t="s">
        <v>157</v>
      </c>
      <c r="D37" s="202">
        <f>G22+G23+G24+G25+G26+G27+G4</f>
        <v>3302591</v>
      </c>
      <c r="I37" s="3" t="s">
        <v>158</v>
      </c>
    </row>
    <row r="38" spans="1:13" ht="18.75" x14ac:dyDescent="0.25">
      <c r="C38" s="201" t="s">
        <v>159</v>
      </c>
      <c r="D38" s="202">
        <f>G32</f>
        <v>3734406.1</v>
      </c>
      <c r="I38" s="203">
        <f>$G$29/$E$4/300</f>
        <v>72.540000000000006</v>
      </c>
    </row>
    <row r="39" spans="1:13" s="4" customFormat="1" ht="18.75" x14ac:dyDescent="0.25">
      <c r="A39" s="3"/>
      <c r="B39" s="3"/>
      <c r="C39" s="201" t="s">
        <v>160</v>
      </c>
      <c r="D39" s="202">
        <f>G30+G28</f>
        <v>431815.10000000003</v>
      </c>
      <c r="E39" s="3"/>
      <c r="F39" s="3"/>
      <c r="G39" s="3"/>
      <c r="H39" s="3"/>
      <c r="I39" s="3"/>
      <c r="J39" s="3"/>
      <c r="K39" s="3"/>
      <c r="L39" s="3"/>
      <c r="M39" s="3"/>
    </row>
    <row r="40" spans="1:13" ht="18.75" x14ac:dyDescent="0.25">
      <c r="C40" s="201" t="s">
        <v>161</v>
      </c>
      <c r="D40" s="204">
        <f>D39/G32</f>
        <v>0.11563153241421709</v>
      </c>
    </row>
    <row r="44" spans="1:13" ht="15.75" thickBot="1" x14ac:dyDescent="0.3"/>
    <row r="45" spans="1:13" x14ac:dyDescent="0.25">
      <c r="C45" s="205" t="s">
        <v>163</v>
      </c>
      <c r="D45" s="206">
        <v>3</v>
      </c>
    </row>
    <row r="46" spans="1:13" x14ac:dyDescent="0.25">
      <c r="C46" s="207" t="s">
        <v>164</v>
      </c>
      <c r="D46" s="208">
        <v>1</v>
      </c>
    </row>
    <row r="47" spans="1:13" x14ac:dyDescent="0.25">
      <c r="C47" s="207" t="s">
        <v>165</v>
      </c>
      <c r="D47" s="208">
        <v>1</v>
      </c>
    </row>
    <row r="48" spans="1:13" ht="15.75" x14ac:dyDescent="0.25">
      <c r="C48" s="224" t="s">
        <v>248</v>
      </c>
      <c r="D48" s="321">
        <v>1</v>
      </c>
    </row>
  </sheetData>
  <mergeCells count="1"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0">
    <tabColor rgb="FFFF0000"/>
  </sheetPr>
  <dimension ref="A1:M43"/>
  <sheetViews>
    <sheetView workbookViewId="0">
      <selection activeCell="E29" sqref="E29"/>
    </sheetView>
  </sheetViews>
  <sheetFormatPr defaultRowHeight="15" x14ac:dyDescent="0.25"/>
  <cols>
    <col min="3" max="3" width="72.5703125" bestFit="1" customWidth="1"/>
    <col min="5" max="5" width="10.42578125" bestFit="1" customWidth="1"/>
    <col min="6" max="6" width="20.85546875" customWidth="1"/>
    <col min="7" max="7" width="21.42578125" customWidth="1"/>
    <col min="8" max="8" width="10.85546875" bestFit="1" customWidth="1"/>
    <col min="9" max="9" width="15" customWidth="1"/>
    <col min="11" max="11" width="22" bestFit="1" customWidth="1"/>
  </cols>
  <sheetData>
    <row r="1" spans="2:13" ht="15.75" thickBot="1" x14ac:dyDescent="0.3">
      <c r="B1" s="24"/>
      <c r="C1" s="24"/>
      <c r="D1" s="24"/>
      <c r="E1" s="24"/>
      <c r="F1" s="30"/>
      <c r="G1" s="24"/>
      <c r="H1" s="24"/>
      <c r="I1" s="24"/>
      <c r="J1" s="24"/>
      <c r="K1" s="24"/>
      <c r="L1" s="24"/>
      <c r="M1" s="24"/>
    </row>
    <row r="2" spans="2:13" ht="15.75" thickBot="1" x14ac:dyDescent="0.3">
      <c r="B2" s="24"/>
      <c r="C2" s="31" t="s">
        <v>120</v>
      </c>
      <c r="D2" s="31">
        <f>E4*0.31</f>
        <v>1.24</v>
      </c>
      <c r="E2" s="31" t="s">
        <v>64</v>
      </c>
      <c r="F2" s="25">
        <v>2</v>
      </c>
      <c r="G2" s="32" t="s">
        <v>65</v>
      </c>
      <c r="H2" s="25">
        <v>2</v>
      </c>
      <c r="I2" s="25" t="s">
        <v>66</v>
      </c>
      <c r="J2" s="24"/>
      <c r="K2" s="33" t="s">
        <v>67</v>
      </c>
      <c r="L2" s="24"/>
      <c r="M2" s="24"/>
    </row>
    <row r="3" spans="2:13" ht="30.75" thickBot="1" x14ac:dyDescent="0.3">
      <c r="B3" s="34" t="s">
        <v>33</v>
      </c>
      <c r="C3" s="35" t="s">
        <v>0</v>
      </c>
      <c r="D3" s="36" t="s">
        <v>68</v>
      </c>
      <c r="E3" s="37" t="s">
        <v>69</v>
      </c>
      <c r="F3" s="38" t="s">
        <v>70</v>
      </c>
      <c r="G3" s="38" t="s">
        <v>71</v>
      </c>
      <c r="H3" s="39" t="s">
        <v>72</v>
      </c>
      <c r="I3" s="40" t="s">
        <v>73</v>
      </c>
      <c r="J3" s="24"/>
      <c r="K3" s="41" t="s">
        <v>74</v>
      </c>
      <c r="L3" s="42">
        <f>D2*1000</f>
        <v>1240</v>
      </c>
      <c r="M3" s="24"/>
    </row>
    <row r="4" spans="2:13" ht="15.75" thickBot="1" x14ac:dyDescent="0.3">
      <c r="B4" s="43">
        <v>1</v>
      </c>
      <c r="C4" s="44" t="s">
        <v>105</v>
      </c>
      <c r="D4" s="45" t="s">
        <v>75</v>
      </c>
      <c r="E4" s="46">
        <v>4</v>
      </c>
      <c r="F4" s="47">
        <f>0.29*L4*310</f>
        <v>5933.3999999999987</v>
      </c>
      <c r="G4" s="47">
        <f>F4*E4</f>
        <v>23733.599999999995</v>
      </c>
      <c r="H4" s="92">
        <f>G4/$L$3/$L$4</f>
        <v>0.28999999999999998</v>
      </c>
      <c r="I4" s="48"/>
      <c r="J4" s="24"/>
      <c r="K4" s="41" t="s">
        <v>76</v>
      </c>
      <c r="L4" s="49">
        <v>66</v>
      </c>
      <c r="M4" s="24"/>
    </row>
    <row r="5" spans="2:13" ht="15.75" thickBot="1" x14ac:dyDescent="0.3">
      <c r="B5" s="93">
        <v>2</v>
      </c>
      <c r="C5" s="94" t="s">
        <v>106</v>
      </c>
      <c r="D5" s="95" t="s">
        <v>75</v>
      </c>
      <c r="E5" s="96">
        <v>1</v>
      </c>
      <c r="F5" s="97">
        <v>10000</v>
      </c>
      <c r="G5" s="98">
        <f>E5*F5</f>
        <v>10000</v>
      </c>
      <c r="H5" s="99">
        <f t="shared" ref="H5:H19" si="0">G5/$L$3/$L$4</f>
        <v>0.12218963831867058</v>
      </c>
      <c r="I5" s="54"/>
      <c r="J5" s="24"/>
      <c r="K5" s="41" t="s">
        <v>77</v>
      </c>
      <c r="L5" s="55">
        <v>76</v>
      </c>
      <c r="M5" s="56"/>
    </row>
    <row r="6" spans="2:13" x14ac:dyDescent="0.25">
      <c r="B6" s="93">
        <v>3</v>
      </c>
      <c r="C6" s="94" t="s">
        <v>123</v>
      </c>
      <c r="D6" s="95" t="s">
        <v>75</v>
      </c>
      <c r="E6" s="96">
        <v>1</v>
      </c>
      <c r="F6" s="97">
        <f>759*L5</f>
        <v>57684</v>
      </c>
      <c r="G6" s="98">
        <f>F6*E6</f>
        <v>57684</v>
      </c>
      <c r="H6" s="99">
        <f t="shared" si="0"/>
        <v>0.70483870967741935</v>
      </c>
      <c r="I6" s="54"/>
      <c r="J6" s="24"/>
      <c r="K6" s="112"/>
      <c r="L6" s="113"/>
      <c r="M6" s="56"/>
    </row>
    <row r="7" spans="2:13" x14ac:dyDescent="0.25">
      <c r="B7" s="43">
        <v>5</v>
      </c>
      <c r="C7" s="50" t="s">
        <v>108</v>
      </c>
      <c r="D7" s="45" t="s">
        <v>78</v>
      </c>
      <c r="E7" s="51">
        <v>50</v>
      </c>
      <c r="F7" s="52">
        <v>50.2</v>
      </c>
      <c r="G7" s="53">
        <f>F7*E7</f>
        <v>2510</v>
      </c>
      <c r="H7" s="92">
        <f t="shared" si="0"/>
        <v>3.0669599217986319E-2</v>
      </c>
      <c r="I7" s="54"/>
      <c r="J7" s="24"/>
      <c r="K7" s="24"/>
      <c r="L7" s="24"/>
      <c r="M7" s="24"/>
    </row>
    <row r="8" spans="2:13" x14ac:dyDescent="0.25">
      <c r="B8" s="43">
        <v>6</v>
      </c>
      <c r="C8" s="50" t="s">
        <v>112</v>
      </c>
      <c r="D8" s="45" t="s">
        <v>75</v>
      </c>
      <c r="E8" s="51">
        <v>2</v>
      </c>
      <c r="F8" s="52">
        <v>24982</v>
      </c>
      <c r="G8" s="53">
        <f>F8*E8</f>
        <v>49964</v>
      </c>
      <c r="H8" s="92">
        <f t="shared" si="0"/>
        <v>0.61050830889540575</v>
      </c>
      <c r="I8" s="54"/>
      <c r="J8" s="24"/>
      <c r="K8" s="25">
        <f>24*200/1000</f>
        <v>4.8</v>
      </c>
      <c r="L8" s="25" t="s">
        <v>80</v>
      </c>
      <c r="M8" s="24"/>
    </row>
    <row r="9" spans="2:13" x14ac:dyDescent="0.25">
      <c r="B9" s="43">
        <v>7</v>
      </c>
      <c r="C9" s="50" t="s">
        <v>81</v>
      </c>
      <c r="D9" s="45" t="s">
        <v>75</v>
      </c>
      <c r="E9" s="46">
        <v>1</v>
      </c>
      <c r="F9" s="52">
        <v>1500</v>
      </c>
      <c r="G9" s="53">
        <f>F9*E9</f>
        <v>1500</v>
      </c>
      <c r="H9" s="92">
        <f t="shared" si="0"/>
        <v>1.8328445747800588E-2</v>
      </c>
      <c r="I9" s="54"/>
      <c r="J9" s="24"/>
      <c r="K9" s="24"/>
      <c r="L9" s="24"/>
      <c r="M9" s="24"/>
    </row>
    <row r="10" spans="2:13" ht="15.75" thickBot="1" x14ac:dyDescent="0.3">
      <c r="B10" s="43">
        <v>8</v>
      </c>
      <c r="C10" s="57" t="s">
        <v>124</v>
      </c>
      <c r="D10" s="86" t="s">
        <v>75</v>
      </c>
      <c r="E10" s="58">
        <v>1</v>
      </c>
      <c r="F10" s="59">
        <v>1000</v>
      </c>
      <c r="G10" s="59">
        <f>F10*E10</f>
        <v>1000</v>
      </c>
      <c r="H10" s="101">
        <f t="shared" si="0"/>
        <v>1.2218963831867057E-2</v>
      </c>
      <c r="I10" s="60"/>
      <c r="J10" s="24"/>
      <c r="K10" s="24"/>
      <c r="L10" s="24"/>
      <c r="M10" s="24"/>
    </row>
    <row r="11" spans="2:13" x14ac:dyDescent="0.25">
      <c r="B11" s="43">
        <v>9</v>
      </c>
      <c r="C11" s="87" t="s">
        <v>82</v>
      </c>
      <c r="D11" s="61"/>
      <c r="E11" s="62"/>
      <c r="F11" s="63"/>
      <c r="G11" s="88">
        <f>SUM(G4:G10)</f>
        <v>146391.59999999998</v>
      </c>
      <c r="H11" s="103">
        <f t="shared" si="0"/>
        <v>1.7887536656891492</v>
      </c>
      <c r="I11" s="64"/>
      <c r="J11" s="28"/>
      <c r="K11" s="24"/>
      <c r="L11" s="24"/>
      <c r="M11" s="24"/>
    </row>
    <row r="12" spans="2:13" x14ac:dyDescent="0.25">
      <c r="B12" s="43">
        <v>10</v>
      </c>
      <c r="C12" s="89" t="s">
        <v>83</v>
      </c>
      <c r="D12" s="85"/>
      <c r="E12" s="51">
        <v>0</v>
      </c>
      <c r="F12" s="53">
        <v>0</v>
      </c>
      <c r="G12" s="65">
        <v>0</v>
      </c>
      <c r="H12" s="102">
        <f t="shared" si="0"/>
        <v>0</v>
      </c>
      <c r="I12" s="91"/>
      <c r="J12" s="28"/>
      <c r="K12" s="24"/>
      <c r="L12" s="24"/>
      <c r="M12" s="24"/>
    </row>
    <row r="13" spans="2:13" x14ac:dyDescent="0.25">
      <c r="B13" s="43">
        <v>11</v>
      </c>
      <c r="C13" s="89" t="s">
        <v>84</v>
      </c>
      <c r="D13" s="85"/>
      <c r="E13" s="51">
        <v>0</v>
      </c>
      <c r="F13" s="53">
        <v>0</v>
      </c>
      <c r="G13" s="65">
        <v>0</v>
      </c>
      <c r="H13" s="102">
        <f t="shared" si="0"/>
        <v>0</v>
      </c>
      <c r="I13" s="91"/>
      <c r="J13" s="28"/>
      <c r="K13" s="24"/>
      <c r="L13" s="24"/>
      <c r="M13" s="24"/>
    </row>
    <row r="14" spans="2:13" ht="15.75" thickBot="1" x14ac:dyDescent="0.3">
      <c r="B14" s="43">
        <v>12</v>
      </c>
      <c r="C14" s="90" t="s">
        <v>85</v>
      </c>
      <c r="D14" s="66" t="s">
        <v>86</v>
      </c>
      <c r="E14" s="67">
        <v>0</v>
      </c>
      <c r="F14" s="68"/>
      <c r="G14" s="69">
        <v>0</v>
      </c>
      <c r="H14" s="104">
        <f t="shared" si="0"/>
        <v>0</v>
      </c>
      <c r="I14" s="70"/>
      <c r="J14" s="28"/>
      <c r="K14" s="24"/>
      <c r="L14" s="24"/>
      <c r="M14" s="24"/>
    </row>
    <row r="15" spans="2:13" x14ac:dyDescent="0.25">
      <c r="B15" s="24"/>
      <c r="C15" s="105" t="s">
        <v>87</v>
      </c>
      <c r="D15" s="106"/>
      <c r="E15" s="107"/>
      <c r="F15" s="107"/>
      <c r="G15" s="108">
        <f>SUM(G11:G14)</f>
        <v>146391.59999999998</v>
      </c>
      <c r="H15" s="109">
        <f t="shared" si="0"/>
        <v>1.7887536656891492</v>
      </c>
      <c r="I15" s="71"/>
      <c r="J15" s="28"/>
      <c r="K15" s="24"/>
      <c r="L15" s="24"/>
      <c r="M15" s="24"/>
    </row>
    <row r="16" spans="2:13" x14ac:dyDescent="0.25">
      <c r="B16" s="24"/>
      <c r="C16" s="72" t="s">
        <v>109</v>
      </c>
      <c r="D16" s="43" t="s">
        <v>86</v>
      </c>
      <c r="E16" s="73">
        <v>0</v>
      </c>
      <c r="F16" s="27"/>
      <c r="G16" s="74">
        <f>G15*E16</f>
        <v>0</v>
      </c>
      <c r="H16" s="110">
        <f t="shared" si="0"/>
        <v>0</v>
      </c>
      <c r="I16" s="71"/>
      <c r="J16" s="28"/>
      <c r="K16" s="24"/>
      <c r="L16" s="24"/>
      <c r="M16" s="24"/>
    </row>
    <row r="17" spans="1:13" x14ac:dyDescent="0.25">
      <c r="A17" s="24"/>
      <c r="B17" s="24"/>
      <c r="C17" s="72" t="s">
        <v>110</v>
      </c>
      <c r="D17" s="43"/>
      <c r="E17" s="73"/>
      <c r="F17" s="27"/>
      <c r="G17" s="74">
        <f>G15+G16</f>
        <v>146391.59999999998</v>
      </c>
      <c r="H17" s="110">
        <f t="shared" si="0"/>
        <v>1.7887536656891492</v>
      </c>
      <c r="I17" s="71"/>
      <c r="J17" s="28"/>
      <c r="K17" s="24"/>
      <c r="L17" s="24"/>
      <c r="M17" s="24"/>
    </row>
    <row r="18" spans="1:13" x14ac:dyDescent="0.25">
      <c r="A18" s="24"/>
      <c r="B18" s="24"/>
      <c r="C18" s="72" t="s">
        <v>90</v>
      </c>
      <c r="D18" s="43"/>
      <c r="E18" s="27"/>
      <c r="F18" s="27"/>
      <c r="G18" s="74">
        <f>G17*0.18</f>
        <v>26350.487999999994</v>
      </c>
      <c r="H18" s="110">
        <f t="shared" si="0"/>
        <v>0.32197565982404686</v>
      </c>
      <c r="I18" s="71"/>
      <c r="J18" s="28"/>
      <c r="K18" s="24"/>
      <c r="L18" s="24"/>
      <c r="M18" s="24"/>
    </row>
    <row r="19" spans="1:13" ht="15.75" thickBot="1" x14ac:dyDescent="0.3">
      <c r="A19" s="24"/>
      <c r="B19" s="24"/>
      <c r="C19" s="75" t="s">
        <v>91</v>
      </c>
      <c r="D19" s="76"/>
      <c r="E19" s="77"/>
      <c r="F19" s="77"/>
      <c r="G19" s="78">
        <f>G17+G18</f>
        <v>172742.08799999996</v>
      </c>
      <c r="H19" s="111">
        <f t="shared" si="0"/>
        <v>2.110729325513196</v>
      </c>
      <c r="I19" s="79"/>
      <c r="J19" s="28"/>
      <c r="K19" s="80"/>
      <c r="L19" s="24"/>
      <c r="M19" s="24"/>
    </row>
    <row r="20" spans="1:13" x14ac:dyDescent="0.25">
      <c r="A20" s="24"/>
      <c r="B20" s="24"/>
      <c r="C20" s="100" t="s">
        <v>113</v>
      </c>
      <c r="D20" s="24"/>
      <c r="E20" s="24"/>
      <c r="F20" s="25"/>
      <c r="G20" s="25"/>
      <c r="H20" s="24"/>
      <c r="I20" s="24"/>
      <c r="J20" s="28"/>
      <c r="K20" s="24"/>
      <c r="L20" s="24"/>
      <c r="M20" s="24"/>
    </row>
    <row r="21" spans="1:13" x14ac:dyDescent="0.25">
      <c r="A21" s="24"/>
      <c r="B21" s="24"/>
      <c r="C21" s="100" t="s">
        <v>107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x14ac:dyDescent="0.25">
      <c r="A22" s="25"/>
      <c r="B22" s="25"/>
      <c r="C22" s="29"/>
      <c r="D22" s="26"/>
      <c r="E22" s="25"/>
      <c r="F22" s="25"/>
      <c r="G22" s="25"/>
      <c r="H22" s="25"/>
      <c r="I22" s="25"/>
      <c r="J22" s="25"/>
      <c r="K22" s="25"/>
      <c r="L22" s="25"/>
      <c r="M22" s="25"/>
    </row>
    <row r="23" spans="1:13" x14ac:dyDescent="0.25">
      <c r="D23" s="24"/>
      <c r="E23" s="24"/>
      <c r="F23" s="24"/>
      <c r="G23" s="24"/>
    </row>
    <row r="26" spans="1:13" x14ac:dyDescent="0.25">
      <c r="D26" s="24"/>
      <c r="E26" s="24"/>
      <c r="F26" s="24"/>
      <c r="G26" s="81"/>
    </row>
    <row r="27" spans="1:13" x14ac:dyDescent="0.25">
      <c r="D27" s="24"/>
      <c r="E27" s="24"/>
      <c r="F27" s="52"/>
      <c r="G27" s="24"/>
    </row>
    <row r="32" spans="1:13" x14ac:dyDescent="0.25">
      <c r="D32" s="82"/>
      <c r="E32" s="83"/>
      <c r="F32" s="24"/>
      <c r="G32" s="24"/>
    </row>
    <row r="33" spans="4:8" x14ac:dyDescent="0.25">
      <c r="D33" s="24"/>
      <c r="E33" s="83"/>
      <c r="F33" s="24"/>
      <c r="G33" s="24"/>
    </row>
    <row r="36" spans="4:8" x14ac:dyDescent="0.25">
      <c r="D36" s="24"/>
      <c r="E36" s="24"/>
      <c r="F36" s="84"/>
      <c r="G36" s="24"/>
    </row>
    <row r="40" spans="4:8" x14ac:dyDescent="0.25">
      <c r="D40" s="24"/>
      <c r="E40" s="24"/>
      <c r="F40" s="84"/>
      <c r="G40" s="24"/>
      <c r="H40" s="24"/>
    </row>
    <row r="42" spans="4:8" x14ac:dyDescent="0.25">
      <c r="D42" s="82"/>
      <c r="E42" s="83"/>
      <c r="F42" s="24"/>
      <c r="G42" s="24"/>
      <c r="H42" s="24"/>
    </row>
    <row r="43" spans="4:8" x14ac:dyDescent="0.25">
      <c r="D43" s="82"/>
      <c r="E43" s="83"/>
      <c r="F43" s="24"/>
      <c r="G43" s="84"/>
      <c r="H43" s="8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1">
    <tabColor rgb="FFFF0000"/>
  </sheetPr>
  <dimension ref="A1:M44"/>
  <sheetViews>
    <sheetView workbookViewId="0">
      <selection activeCell="C9" sqref="C9"/>
    </sheetView>
  </sheetViews>
  <sheetFormatPr defaultRowHeight="15" x14ac:dyDescent="0.25"/>
  <cols>
    <col min="3" max="3" width="72.5703125" bestFit="1" customWidth="1"/>
    <col min="5" max="5" width="10.42578125" bestFit="1" customWidth="1"/>
    <col min="6" max="6" width="20.85546875" customWidth="1"/>
    <col min="7" max="7" width="21.42578125" customWidth="1"/>
    <col min="8" max="8" width="10.85546875" bestFit="1" customWidth="1"/>
    <col min="9" max="9" width="15" customWidth="1"/>
    <col min="11" max="11" width="22" bestFit="1" customWidth="1"/>
  </cols>
  <sheetData>
    <row r="1" spans="2:13" ht="15.75" thickBot="1" x14ac:dyDescent="0.3">
      <c r="B1" s="24"/>
      <c r="C1" s="24"/>
      <c r="D1" s="24"/>
      <c r="E1" s="24"/>
      <c r="F1" s="30"/>
      <c r="G1" s="24"/>
      <c r="H1" s="24"/>
      <c r="I1" s="24"/>
      <c r="J1" s="24"/>
      <c r="K1" s="24"/>
      <c r="L1" s="24"/>
      <c r="M1" s="24"/>
    </row>
    <row r="2" spans="2:13" ht="15.75" thickBot="1" x14ac:dyDescent="0.3">
      <c r="B2" s="24"/>
      <c r="C2" s="31" t="s">
        <v>116</v>
      </c>
      <c r="D2" s="31">
        <f>E4*0.31</f>
        <v>2.48</v>
      </c>
      <c r="E2" s="31" t="s">
        <v>64</v>
      </c>
      <c r="F2" s="25">
        <v>2</v>
      </c>
      <c r="G2" s="32" t="s">
        <v>65</v>
      </c>
      <c r="H2" s="25">
        <v>4</v>
      </c>
      <c r="I2" s="25" t="s">
        <v>66</v>
      </c>
      <c r="J2" s="24"/>
      <c r="K2" s="33" t="s">
        <v>67</v>
      </c>
      <c r="L2" s="24"/>
      <c r="M2" s="24"/>
    </row>
    <row r="3" spans="2:13" ht="30.75" thickBot="1" x14ac:dyDescent="0.3">
      <c r="B3" s="34" t="s">
        <v>33</v>
      </c>
      <c r="C3" s="35" t="s">
        <v>0</v>
      </c>
      <c r="D3" s="36" t="s">
        <v>68</v>
      </c>
      <c r="E3" s="37" t="s">
        <v>69</v>
      </c>
      <c r="F3" s="38" t="s">
        <v>70</v>
      </c>
      <c r="G3" s="38" t="s">
        <v>71</v>
      </c>
      <c r="H3" s="39" t="s">
        <v>72</v>
      </c>
      <c r="I3" s="40" t="s">
        <v>73</v>
      </c>
      <c r="J3" s="24"/>
      <c r="K3" s="41" t="s">
        <v>74</v>
      </c>
      <c r="L3" s="42">
        <f>D2*1000</f>
        <v>2480</v>
      </c>
      <c r="M3" s="24"/>
    </row>
    <row r="4" spans="2:13" ht="15.75" thickBot="1" x14ac:dyDescent="0.3">
      <c r="B4" s="43">
        <v>1</v>
      </c>
      <c r="C4" s="44" t="s">
        <v>105</v>
      </c>
      <c r="D4" s="45" t="s">
        <v>75</v>
      </c>
      <c r="E4" s="46">
        <v>8</v>
      </c>
      <c r="F4" s="47">
        <f>0.29*L4*310</f>
        <v>5933.3999999999987</v>
      </c>
      <c r="G4" s="47">
        <f>F4*E4</f>
        <v>47467.19999999999</v>
      </c>
      <c r="H4" s="92">
        <f>G4/$L$3/$L$4</f>
        <v>0.28999999999999998</v>
      </c>
      <c r="I4" s="48"/>
      <c r="J4" s="24"/>
      <c r="K4" s="41" t="s">
        <v>76</v>
      </c>
      <c r="L4" s="49">
        <v>66</v>
      </c>
      <c r="M4" s="24"/>
    </row>
    <row r="5" spans="2:13" ht="15.75" thickBot="1" x14ac:dyDescent="0.3">
      <c r="B5" s="93">
        <v>2</v>
      </c>
      <c r="C5" s="94" t="s">
        <v>106</v>
      </c>
      <c r="D5" s="95" t="s">
        <v>75</v>
      </c>
      <c r="E5" s="96">
        <v>1</v>
      </c>
      <c r="F5" s="97">
        <v>20000</v>
      </c>
      <c r="G5" s="98">
        <f>E5*F5</f>
        <v>20000</v>
      </c>
      <c r="H5" s="99">
        <f t="shared" ref="H5:H20" si="0">G5/$L$3/$L$4</f>
        <v>0.12218963831867058</v>
      </c>
      <c r="I5" s="54"/>
      <c r="J5" s="24"/>
      <c r="K5" s="41" t="s">
        <v>77</v>
      </c>
      <c r="L5" s="55">
        <v>76</v>
      </c>
      <c r="M5" s="56"/>
    </row>
    <row r="6" spans="2:13" x14ac:dyDescent="0.25">
      <c r="B6" s="93">
        <v>3</v>
      </c>
      <c r="C6" s="94" t="s">
        <v>114</v>
      </c>
      <c r="D6" s="95" t="s">
        <v>75</v>
      </c>
      <c r="E6" s="96">
        <v>1</v>
      </c>
      <c r="F6" s="97">
        <f>664.4*L5</f>
        <v>50494.400000000001</v>
      </c>
      <c r="G6" s="98">
        <f t="shared" ref="G6:G11" si="1">F6*E6</f>
        <v>50494.400000000001</v>
      </c>
      <c r="H6" s="99">
        <f t="shared" si="0"/>
        <v>0.30849462365591396</v>
      </c>
      <c r="I6" s="54"/>
      <c r="J6" s="24"/>
      <c r="K6" s="112"/>
      <c r="L6" s="113"/>
      <c r="M6" s="56"/>
    </row>
    <row r="7" spans="2:13" x14ac:dyDescent="0.25">
      <c r="B7" s="93">
        <v>4</v>
      </c>
      <c r="C7" s="94" t="s">
        <v>115</v>
      </c>
      <c r="D7" s="95" t="s">
        <v>75</v>
      </c>
      <c r="E7" s="96">
        <v>1</v>
      </c>
      <c r="F7" s="97">
        <f>357.5*L5</f>
        <v>27170</v>
      </c>
      <c r="G7" s="98">
        <f t="shared" si="1"/>
        <v>27170</v>
      </c>
      <c r="H7" s="99">
        <f t="shared" si="0"/>
        <v>0.16599462365591397</v>
      </c>
      <c r="I7" s="54"/>
      <c r="J7" s="24"/>
      <c r="K7" s="25"/>
      <c r="L7" s="24"/>
      <c r="M7" s="24"/>
    </row>
    <row r="8" spans="2:13" x14ac:dyDescent="0.25">
      <c r="B8" s="43">
        <v>5</v>
      </c>
      <c r="C8" s="50" t="s">
        <v>108</v>
      </c>
      <c r="D8" s="45" t="s">
        <v>78</v>
      </c>
      <c r="E8" s="51">
        <v>50</v>
      </c>
      <c r="F8" s="52">
        <v>50.2</v>
      </c>
      <c r="G8" s="53">
        <f t="shared" si="1"/>
        <v>2510</v>
      </c>
      <c r="H8" s="92">
        <f t="shared" si="0"/>
        <v>1.5334799608993159E-2</v>
      </c>
      <c r="I8" s="54"/>
      <c r="J8" s="24"/>
      <c r="K8" s="24"/>
      <c r="L8" s="24"/>
      <c r="M8" s="24"/>
    </row>
    <row r="9" spans="2:13" x14ac:dyDescent="0.25">
      <c r="B9" s="93">
        <v>6</v>
      </c>
      <c r="C9" s="94" t="s">
        <v>118</v>
      </c>
      <c r="D9" s="45" t="s">
        <v>75</v>
      </c>
      <c r="E9" s="51">
        <v>1</v>
      </c>
      <c r="F9" s="52">
        <f>3510*L5</f>
        <v>266760</v>
      </c>
      <c r="G9" s="53">
        <f t="shared" si="1"/>
        <v>266760</v>
      </c>
      <c r="H9" s="92">
        <f t="shared" si="0"/>
        <v>1.629765395894428</v>
      </c>
      <c r="I9" s="54"/>
      <c r="J9" s="24"/>
      <c r="K9" s="25"/>
      <c r="L9" s="25"/>
      <c r="M9" s="24"/>
    </row>
    <row r="10" spans="2:13" x14ac:dyDescent="0.25">
      <c r="B10" s="93">
        <v>7</v>
      </c>
      <c r="C10" s="94" t="s">
        <v>119</v>
      </c>
      <c r="D10" s="45" t="s">
        <v>75</v>
      </c>
      <c r="E10" s="51">
        <v>1</v>
      </c>
      <c r="F10" s="52">
        <f>165*L5</f>
        <v>12540</v>
      </c>
      <c r="G10" s="53">
        <f t="shared" si="1"/>
        <v>12540</v>
      </c>
      <c r="H10" s="92">
        <f t="shared" si="0"/>
        <v>7.6612903225806453E-2</v>
      </c>
      <c r="I10" s="54"/>
      <c r="J10" s="24"/>
      <c r="K10" s="25"/>
      <c r="L10" s="25"/>
      <c r="M10" s="24"/>
    </row>
    <row r="11" spans="2:13" ht="15.75" thickBot="1" x14ac:dyDescent="0.3">
      <c r="B11" s="43">
        <v>8</v>
      </c>
      <c r="C11" s="57" t="s">
        <v>117</v>
      </c>
      <c r="D11" s="86" t="s">
        <v>75</v>
      </c>
      <c r="E11" s="58">
        <v>1</v>
      </c>
      <c r="F11" s="59">
        <v>5000</v>
      </c>
      <c r="G11" s="59">
        <f t="shared" si="1"/>
        <v>5000</v>
      </c>
      <c r="H11" s="101">
        <f t="shared" si="0"/>
        <v>3.0547409579667645E-2</v>
      </c>
      <c r="I11" s="60"/>
      <c r="J11" s="24"/>
      <c r="K11" s="24"/>
      <c r="L11" s="24"/>
      <c r="M11" s="24"/>
    </row>
    <row r="12" spans="2:13" x14ac:dyDescent="0.25">
      <c r="B12" s="43">
        <v>9</v>
      </c>
      <c r="C12" s="87" t="s">
        <v>82</v>
      </c>
      <c r="D12" s="61"/>
      <c r="E12" s="62"/>
      <c r="F12" s="63"/>
      <c r="G12" s="88">
        <f>SUM(G4:G11)</f>
        <v>431941.6</v>
      </c>
      <c r="H12" s="103">
        <f t="shared" si="0"/>
        <v>2.6389393939393937</v>
      </c>
      <c r="I12" s="64"/>
      <c r="J12" s="28"/>
      <c r="K12" s="24"/>
      <c r="L12" s="24"/>
      <c r="M12" s="24"/>
    </row>
    <row r="13" spans="2:13" x14ac:dyDescent="0.25">
      <c r="B13" s="43">
        <v>10</v>
      </c>
      <c r="C13" s="89" t="s">
        <v>83</v>
      </c>
      <c r="D13" s="85"/>
      <c r="E13" s="51">
        <v>0</v>
      </c>
      <c r="F13" s="53">
        <v>0</v>
      </c>
      <c r="G13" s="65">
        <v>0</v>
      </c>
      <c r="H13" s="102">
        <f t="shared" si="0"/>
        <v>0</v>
      </c>
      <c r="I13" s="91"/>
      <c r="J13" s="28"/>
      <c r="K13" s="24"/>
      <c r="L13" s="24"/>
      <c r="M13" s="24"/>
    </row>
    <row r="14" spans="2:13" x14ac:dyDescent="0.25">
      <c r="B14" s="43">
        <v>11</v>
      </c>
      <c r="C14" s="89" t="s">
        <v>84</v>
      </c>
      <c r="D14" s="85"/>
      <c r="E14" s="51">
        <v>0</v>
      </c>
      <c r="F14" s="53">
        <v>0</v>
      </c>
      <c r="G14" s="65">
        <v>0</v>
      </c>
      <c r="H14" s="102">
        <f t="shared" si="0"/>
        <v>0</v>
      </c>
      <c r="I14" s="91"/>
      <c r="J14" s="28"/>
      <c r="K14" s="24"/>
      <c r="L14" s="24"/>
      <c r="M14" s="24"/>
    </row>
    <row r="15" spans="2:13" ht="15.75" thickBot="1" x14ac:dyDescent="0.3">
      <c r="B15" s="43">
        <v>12</v>
      </c>
      <c r="C15" s="90" t="s">
        <v>85</v>
      </c>
      <c r="D15" s="66" t="s">
        <v>86</v>
      </c>
      <c r="E15" s="67">
        <v>0</v>
      </c>
      <c r="F15" s="68"/>
      <c r="G15" s="69">
        <v>0</v>
      </c>
      <c r="H15" s="104">
        <f t="shared" si="0"/>
        <v>0</v>
      </c>
      <c r="I15" s="70"/>
      <c r="J15" s="28"/>
      <c r="K15" s="24"/>
      <c r="L15" s="24"/>
      <c r="M15" s="24"/>
    </row>
    <row r="16" spans="2:13" x14ac:dyDescent="0.25">
      <c r="B16" s="24"/>
      <c r="C16" s="105" t="s">
        <v>87</v>
      </c>
      <c r="D16" s="106"/>
      <c r="E16" s="107"/>
      <c r="F16" s="107"/>
      <c r="G16" s="108">
        <f>SUM(G12:G15)</f>
        <v>431941.6</v>
      </c>
      <c r="H16" s="109">
        <f t="shared" si="0"/>
        <v>2.6389393939393937</v>
      </c>
      <c r="I16" s="71"/>
      <c r="J16" s="28"/>
      <c r="K16" s="24"/>
      <c r="L16" s="24"/>
      <c r="M16" s="24"/>
    </row>
    <row r="17" spans="1:13" x14ac:dyDescent="0.25">
      <c r="B17" s="24"/>
      <c r="C17" s="72" t="s">
        <v>109</v>
      </c>
      <c r="D17" s="43" t="s">
        <v>86</v>
      </c>
      <c r="E17" s="73">
        <v>0</v>
      </c>
      <c r="F17" s="27"/>
      <c r="G17" s="74">
        <f>G16*E17</f>
        <v>0</v>
      </c>
      <c r="H17" s="110">
        <f t="shared" si="0"/>
        <v>0</v>
      </c>
      <c r="I17" s="71"/>
      <c r="J17" s="28"/>
      <c r="K17" s="24"/>
      <c r="L17" s="24"/>
      <c r="M17" s="24"/>
    </row>
    <row r="18" spans="1:13" x14ac:dyDescent="0.25">
      <c r="A18" s="24"/>
      <c r="B18" s="24"/>
      <c r="C18" s="72" t="s">
        <v>110</v>
      </c>
      <c r="D18" s="43"/>
      <c r="E18" s="73"/>
      <c r="F18" s="27"/>
      <c r="G18" s="74">
        <f>G16+G17</f>
        <v>431941.6</v>
      </c>
      <c r="H18" s="110">
        <f t="shared" si="0"/>
        <v>2.6389393939393937</v>
      </c>
      <c r="I18" s="71"/>
      <c r="J18" s="28"/>
      <c r="K18" s="24"/>
      <c r="L18" s="24"/>
      <c r="M18" s="24"/>
    </row>
    <row r="19" spans="1:13" x14ac:dyDescent="0.25">
      <c r="A19" s="24"/>
      <c r="B19" s="24"/>
      <c r="C19" s="72" t="s">
        <v>90</v>
      </c>
      <c r="D19" s="43"/>
      <c r="E19" s="27"/>
      <c r="F19" s="27"/>
      <c r="G19" s="74">
        <f>G18*0.18</f>
        <v>77749.487999999998</v>
      </c>
      <c r="H19" s="110">
        <f t="shared" si="0"/>
        <v>0.47500909090909094</v>
      </c>
      <c r="I19" s="71"/>
      <c r="J19" s="28"/>
      <c r="K19" s="24"/>
      <c r="L19" s="24"/>
      <c r="M19" s="24"/>
    </row>
    <row r="20" spans="1:13" ht="15.75" thickBot="1" x14ac:dyDescent="0.3">
      <c r="A20" s="24"/>
      <c r="B20" s="24"/>
      <c r="C20" s="75" t="s">
        <v>91</v>
      </c>
      <c r="D20" s="76"/>
      <c r="E20" s="77"/>
      <c r="F20" s="77"/>
      <c r="G20" s="78">
        <f>G18+G19</f>
        <v>509691.08799999999</v>
      </c>
      <c r="H20" s="111">
        <f t="shared" si="0"/>
        <v>3.1139484848484851</v>
      </c>
      <c r="I20" s="79"/>
      <c r="J20" s="28"/>
      <c r="K20" s="80"/>
      <c r="L20" s="24"/>
      <c r="M20" s="24"/>
    </row>
    <row r="21" spans="1:13" x14ac:dyDescent="0.25">
      <c r="A21" s="24"/>
      <c r="B21" s="24"/>
      <c r="C21" s="100" t="s">
        <v>113</v>
      </c>
      <c r="D21" s="24"/>
      <c r="E21" s="24"/>
      <c r="F21" s="25"/>
      <c r="G21" s="25"/>
      <c r="H21" s="24"/>
      <c r="I21" s="24"/>
      <c r="J21" s="28"/>
      <c r="K21" s="24"/>
      <c r="L21" s="24"/>
      <c r="M21" s="24"/>
    </row>
    <row r="22" spans="1:13" x14ac:dyDescent="0.25">
      <c r="A22" s="24"/>
      <c r="B22" s="24"/>
      <c r="C22" s="100" t="s">
        <v>107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x14ac:dyDescent="0.25">
      <c r="A23" s="25"/>
      <c r="B23" s="25"/>
      <c r="C23" s="29"/>
      <c r="D23" s="26"/>
      <c r="E23" s="25"/>
      <c r="F23" s="25"/>
      <c r="G23" s="25"/>
      <c r="H23" s="25"/>
      <c r="I23" s="25"/>
      <c r="J23" s="25"/>
      <c r="K23" s="25"/>
      <c r="L23" s="25"/>
      <c r="M23" s="25"/>
    </row>
    <row r="24" spans="1:13" x14ac:dyDescent="0.25">
      <c r="D24" s="24"/>
      <c r="E24" s="24"/>
      <c r="F24" s="24"/>
      <c r="G24" s="24"/>
    </row>
    <row r="27" spans="1:13" x14ac:dyDescent="0.25">
      <c r="D27" s="24"/>
      <c r="E27" s="24"/>
      <c r="F27" s="24"/>
      <c r="G27" s="81"/>
    </row>
    <row r="28" spans="1:13" x14ac:dyDescent="0.25">
      <c r="D28" s="24"/>
      <c r="E28" s="24"/>
      <c r="F28" s="52"/>
      <c r="G28" s="24"/>
    </row>
    <row r="33" spans="4:8" x14ac:dyDescent="0.25">
      <c r="D33" s="82"/>
      <c r="E33" s="83"/>
      <c r="F33" s="24"/>
      <c r="G33" s="24"/>
    </row>
    <row r="34" spans="4:8" x14ac:dyDescent="0.25">
      <c r="D34" s="24"/>
      <c r="E34" s="83"/>
      <c r="F34" s="24"/>
      <c r="G34" s="24"/>
    </row>
    <row r="37" spans="4:8" x14ac:dyDescent="0.25">
      <c r="D37" s="24"/>
      <c r="E37" s="24"/>
      <c r="F37" s="84"/>
      <c r="G37" s="24"/>
    </row>
    <row r="41" spans="4:8" x14ac:dyDescent="0.25">
      <c r="D41" s="24"/>
      <c r="E41" s="24"/>
      <c r="F41" s="84"/>
      <c r="G41" s="24"/>
      <c r="H41" s="24"/>
    </row>
    <row r="43" spans="4:8" x14ac:dyDescent="0.25">
      <c r="D43" s="82"/>
      <c r="E43" s="83"/>
      <c r="F43" s="24"/>
      <c r="G43" s="24"/>
      <c r="H43" s="24"/>
    </row>
    <row r="44" spans="4:8" x14ac:dyDescent="0.25">
      <c r="D44" s="82"/>
      <c r="E44" s="83"/>
      <c r="F44" s="24"/>
      <c r="G44" s="84"/>
      <c r="H44" s="8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2">
    <tabColor rgb="FFFF0000"/>
  </sheetPr>
  <dimension ref="A1:M42"/>
  <sheetViews>
    <sheetView workbookViewId="0">
      <selection activeCell="C8" sqref="C8"/>
    </sheetView>
  </sheetViews>
  <sheetFormatPr defaultRowHeight="15" x14ac:dyDescent="0.25"/>
  <cols>
    <col min="3" max="3" width="72.5703125" bestFit="1" customWidth="1"/>
    <col min="5" max="5" width="10.42578125" bestFit="1" customWidth="1"/>
    <col min="6" max="6" width="20.85546875" customWidth="1"/>
    <col min="7" max="7" width="21.42578125" customWidth="1"/>
    <col min="8" max="8" width="10.85546875" bestFit="1" customWidth="1"/>
    <col min="9" max="9" width="15" customWidth="1"/>
    <col min="11" max="11" width="22" bestFit="1" customWidth="1"/>
  </cols>
  <sheetData>
    <row r="1" spans="1:13" ht="15.75" thickBot="1" x14ac:dyDescent="0.3">
      <c r="B1" s="24"/>
      <c r="C1" s="24"/>
      <c r="D1" s="24"/>
      <c r="E1" s="24"/>
      <c r="F1" s="30"/>
      <c r="G1" s="24"/>
      <c r="H1" s="24"/>
      <c r="I1" s="24"/>
      <c r="J1" s="24"/>
      <c r="K1" s="24"/>
      <c r="L1" s="24"/>
      <c r="M1" s="24"/>
    </row>
    <row r="2" spans="1:13" ht="15.75" thickBot="1" x14ac:dyDescent="0.3">
      <c r="B2" s="24"/>
      <c r="C2" s="31" t="s">
        <v>125</v>
      </c>
      <c r="D2" s="31">
        <f>E4*0.31</f>
        <v>2.79</v>
      </c>
      <c r="E2" s="31" t="s">
        <v>64</v>
      </c>
      <c r="F2" s="25">
        <v>3</v>
      </c>
      <c r="G2" s="32" t="s">
        <v>65</v>
      </c>
      <c r="H2" s="25">
        <v>3</v>
      </c>
      <c r="I2" s="25" t="s">
        <v>66</v>
      </c>
      <c r="J2" s="24"/>
      <c r="K2" s="33" t="s">
        <v>67</v>
      </c>
      <c r="L2" s="24"/>
      <c r="M2" s="24"/>
    </row>
    <row r="3" spans="1:13" ht="30.75" thickBot="1" x14ac:dyDescent="0.3">
      <c r="B3" s="34" t="s">
        <v>33</v>
      </c>
      <c r="C3" s="35" t="s">
        <v>0</v>
      </c>
      <c r="D3" s="36" t="s">
        <v>68</v>
      </c>
      <c r="E3" s="37" t="s">
        <v>69</v>
      </c>
      <c r="F3" s="38" t="s">
        <v>70</v>
      </c>
      <c r="G3" s="38" t="s">
        <v>71</v>
      </c>
      <c r="H3" s="39" t="s">
        <v>72</v>
      </c>
      <c r="I3" s="40" t="s">
        <v>73</v>
      </c>
      <c r="J3" s="24"/>
      <c r="K3" s="41" t="s">
        <v>74</v>
      </c>
      <c r="L3" s="42">
        <f>D2*1000</f>
        <v>2790</v>
      </c>
      <c r="M3" s="24"/>
    </row>
    <row r="4" spans="1:13" ht="15.75" thickBot="1" x14ac:dyDescent="0.3">
      <c r="B4" s="43">
        <v>1</v>
      </c>
      <c r="C4" s="44" t="s">
        <v>105</v>
      </c>
      <c r="D4" s="45" t="s">
        <v>75</v>
      </c>
      <c r="E4" s="46">
        <v>9</v>
      </c>
      <c r="F4" s="47">
        <f>0.29*L4*310</f>
        <v>5933.3999999999987</v>
      </c>
      <c r="G4" s="47">
        <f>F4*E4</f>
        <v>53400.599999999991</v>
      </c>
      <c r="H4" s="92">
        <f>G4/$L$3/$L$4</f>
        <v>0.28999999999999998</v>
      </c>
      <c r="I4" s="48"/>
      <c r="J4" s="24"/>
      <c r="K4" s="41" t="s">
        <v>76</v>
      </c>
      <c r="L4" s="49">
        <v>66</v>
      </c>
      <c r="M4" s="24"/>
    </row>
    <row r="5" spans="1:13" ht="15.75" thickBot="1" x14ac:dyDescent="0.3">
      <c r="B5" s="93">
        <v>2</v>
      </c>
      <c r="C5" s="94" t="s">
        <v>106</v>
      </c>
      <c r="D5" s="95" t="s">
        <v>75</v>
      </c>
      <c r="E5" s="96">
        <v>1</v>
      </c>
      <c r="F5" s="97">
        <v>20000</v>
      </c>
      <c r="G5" s="98">
        <f>E5*F5</f>
        <v>20000</v>
      </c>
      <c r="H5" s="99">
        <f t="shared" ref="H5:H18" si="0">G5/$L$3/$L$4</f>
        <v>0.10861301183881829</v>
      </c>
      <c r="I5" s="54"/>
      <c r="J5" s="24"/>
      <c r="K5" s="41" t="s">
        <v>77</v>
      </c>
      <c r="L5" s="55">
        <v>76</v>
      </c>
      <c r="M5" s="56"/>
    </row>
    <row r="6" spans="1:13" x14ac:dyDescent="0.25">
      <c r="B6" s="93">
        <v>3</v>
      </c>
      <c r="C6" s="94" t="s">
        <v>122</v>
      </c>
      <c r="D6" s="95" t="s">
        <v>75</v>
      </c>
      <c r="E6" s="96">
        <v>1</v>
      </c>
      <c r="F6" s="97">
        <f>1113.75*L5</f>
        <v>84645</v>
      </c>
      <c r="G6" s="98">
        <f>F6*E6</f>
        <v>84645</v>
      </c>
      <c r="H6" s="99">
        <f t="shared" si="0"/>
        <v>0.45967741935483875</v>
      </c>
      <c r="I6" s="54"/>
      <c r="J6" s="24"/>
      <c r="K6" s="112"/>
      <c r="L6" s="113"/>
      <c r="M6" s="56"/>
    </row>
    <row r="7" spans="1:13" x14ac:dyDescent="0.25">
      <c r="B7" s="43">
        <v>5</v>
      </c>
      <c r="C7" s="50" t="s">
        <v>108</v>
      </c>
      <c r="D7" s="45" t="s">
        <v>78</v>
      </c>
      <c r="E7" s="51">
        <v>75</v>
      </c>
      <c r="F7" s="52">
        <v>50.2</v>
      </c>
      <c r="G7" s="53">
        <f>F7*E7</f>
        <v>3765</v>
      </c>
      <c r="H7" s="92">
        <f t="shared" si="0"/>
        <v>2.0446399478657541E-2</v>
      </c>
      <c r="I7" s="54"/>
      <c r="J7" s="24"/>
      <c r="K7" s="24"/>
      <c r="L7" s="24"/>
      <c r="M7" s="24"/>
    </row>
    <row r="8" spans="1:13" ht="15.75" thickBot="1" x14ac:dyDescent="0.3">
      <c r="B8" s="93">
        <v>6</v>
      </c>
      <c r="C8" s="94" t="s">
        <v>118</v>
      </c>
      <c r="D8" s="45" t="s">
        <v>75</v>
      </c>
      <c r="E8" s="51">
        <v>1</v>
      </c>
      <c r="F8" s="52">
        <f>3510*L4</f>
        <v>231660</v>
      </c>
      <c r="G8" s="53">
        <f>F8*E8</f>
        <v>231660</v>
      </c>
      <c r="H8" s="92">
        <f t="shared" si="0"/>
        <v>1.2580645161290323</v>
      </c>
      <c r="I8" s="54"/>
      <c r="J8" s="24"/>
      <c r="K8" s="25"/>
      <c r="L8" s="25"/>
      <c r="M8" s="24"/>
    </row>
    <row r="9" spans="1:13" ht="15.75" thickBot="1" x14ac:dyDescent="0.3">
      <c r="B9" s="43">
        <v>8</v>
      </c>
      <c r="C9" s="57" t="s">
        <v>124</v>
      </c>
      <c r="D9" s="86" t="s">
        <v>75</v>
      </c>
      <c r="E9" s="58">
        <v>1</v>
      </c>
      <c r="F9" s="59">
        <v>1000</v>
      </c>
      <c r="G9" s="59">
        <f>F9*E9</f>
        <v>1000</v>
      </c>
      <c r="H9" s="101">
        <f t="shared" si="0"/>
        <v>5.4306505919409142E-3</v>
      </c>
      <c r="I9" s="60"/>
      <c r="J9" s="24"/>
      <c r="K9" s="24"/>
      <c r="L9" s="24"/>
      <c r="M9" s="24"/>
    </row>
    <row r="10" spans="1:13" x14ac:dyDescent="0.25">
      <c r="B10" s="43">
        <v>9</v>
      </c>
      <c r="C10" s="87" t="s">
        <v>82</v>
      </c>
      <c r="D10" s="61"/>
      <c r="E10" s="62"/>
      <c r="F10" s="63"/>
      <c r="G10" s="88">
        <f>SUM(G4:G9)</f>
        <v>394470.6</v>
      </c>
      <c r="H10" s="103">
        <f t="shared" si="0"/>
        <v>2.1422319973932877</v>
      </c>
      <c r="I10" s="64"/>
      <c r="J10" s="28"/>
      <c r="K10" s="24"/>
      <c r="L10" s="24"/>
      <c r="M10" s="24"/>
    </row>
    <row r="11" spans="1:13" x14ac:dyDescent="0.25">
      <c r="B11" s="43">
        <v>10</v>
      </c>
      <c r="C11" s="89" t="s">
        <v>83</v>
      </c>
      <c r="D11" s="85"/>
      <c r="E11" s="51">
        <v>0</v>
      </c>
      <c r="F11" s="53">
        <v>0</v>
      </c>
      <c r="G11" s="65">
        <v>0</v>
      </c>
      <c r="H11" s="102">
        <f t="shared" si="0"/>
        <v>0</v>
      </c>
      <c r="I11" s="91"/>
      <c r="J11" s="28"/>
      <c r="K11" s="24"/>
      <c r="L11" s="24"/>
      <c r="M11" s="24"/>
    </row>
    <row r="12" spans="1:13" x14ac:dyDescent="0.25">
      <c r="B12" s="43">
        <v>11</v>
      </c>
      <c r="C12" s="89" t="s">
        <v>84</v>
      </c>
      <c r="D12" s="85"/>
      <c r="E12" s="51">
        <v>0</v>
      </c>
      <c r="F12" s="53">
        <v>0</v>
      </c>
      <c r="G12" s="65">
        <v>0</v>
      </c>
      <c r="H12" s="102">
        <f t="shared" si="0"/>
        <v>0</v>
      </c>
      <c r="I12" s="91"/>
      <c r="J12" s="28"/>
      <c r="K12" s="24"/>
      <c r="L12" s="24"/>
      <c r="M12" s="24"/>
    </row>
    <row r="13" spans="1:13" ht="15.75" thickBot="1" x14ac:dyDescent="0.3">
      <c r="B13" s="43">
        <v>12</v>
      </c>
      <c r="C13" s="90" t="s">
        <v>85</v>
      </c>
      <c r="D13" s="66" t="s">
        <v>86</v>
      </c>
      <c r="E13" s="67">
        <v>0</v>
      </c>
      <c r="F13" s="68"/>
      <c r="G13" s="69">
        <v>0</v>
      </c>
      <c r="H13" s="104">
        <f t="shared" si="0"/>
        <v>0</v>
      </c>
      <c r="I13" s="70"/>
      <c r="J13" s="28"/>
      <c r="K13" s="24"/>
      <c r="L13" s="24"/>
      <c r="M13" s="24"/>
    </row>
    <row r="14" spans="1:13" x14ac:dyDescent="0.25">
      <c r="B14" s="24"/>
      <c r="C14" s="105" t="s">
        <v>87</v>
      </c>
      <c r="D14" s="106"/>
      <c r="E14" s="107"/>
      <c r="F14" s="107"/>
      <c r="G14" s="108">
        <f>SUM(G10:G13)</f>
        <v>394470.6</v>
      </c>
      <c r="H14" s="109">
        <f t="shared" si="0"/>
        <v>2.1422319973932877</v>
      </c>
      <c r="I14" s="71"/>
      <c r="J14" s="28"/>
      <c r="K14" s="24"/>
      <c r="L14" s="24"/>
      <c r="M14" s="24"/>
    </row>
    <row r="15" spans="1:13" x14ac:dyDescent="0.25">
      <c r="B15" s="24"/>
      <c r="C15" s="72" t="s">
        <v>109</v>
      </c>
      <c r="D15" s="43" t="s">
        <v>86</v>
      </c>
      <c r="E15" s="73">
        <v>0</v>
      </c>
      <c r="F15" s="27"/>
      <c r="G15" s="74">
        <f>G14*E15</f>
        <v>0</v>
      </c>
      <c r="H15" s="110">
        <f t="shared" si="0"/>
        <v>0</v>
      </c>
      <c r="I15" s="71"/>
      <c r="J15" s="28"/>
      <c r="K15" s="24"/>
      <c r="L15" s="24"/>
      <c r="M15" s="24"/>
    </row>
    <row r="16" spans="1:13" x14ac:dyDescent="0.25">
      <c r="A16" s="24"/>
      <c r="B16" s="24"/>
      <c r="C16" s="72" t="s">
        <v>110</v>
      </c>
      <c r="D16" s="43"/>
      <c r="E16" s="73"/>
      <c r="F16" s="27"/>
      <c r="G16" s="74">
        <f>G14+G15</f>
        <v>394470.6</v>
      </c>
      <c r="H16" s="110">
        <f t="shared" si="0"/>
        <v>2.1422319973932877</v>
      </c>
      <c r="I16" s="71"/>
      <c r="J16" s="28"/>
      <c r="K16" s="24"/>
      <c r="L16" s="24"/>
      <c r="M16" s="24"/>
    </row>
    <row r="17" spans="1:13" x14ac:dyDescent="0.25">
      <c r="A17" s="24"/>
      <c r="B17" s="24"/>
      <c r="C17" s="72" t="s">
        <v>90</v>
      </c>
      <c r="D17" s="43"/>
      <c r="E17" s="27"/>
      <c r="F17" s="27"/>
      <c r="G17" s="74">
        <f>G16*0.18</f>
        <v>71004.707999999999</v>
      </c>
      <c r="H17" s="110">
        <f t="shared" si="0"/>
        <v>0.38560175953079179</v>
      </c>
      <c r="I17" s="71"/>
      <c r="J17" s="28"/>
      <c r="K17" s="24"/>
      <c r="L17" s="24"/>
      <c r="M17" s="24"/>
    </row>
    <row r="18" spans="1:13" ht="15.75" thickBot="1" x14ac:dyDescent="0.3">
      <c r="A18" s="24"/>
      <c r="B18" s="24"/>
      <c r="C18" s="75" t="s">
        <v>91</v>
      </c>
      <c r="D18" s="76"/>
      <c r="E18" s="77"/>
      <c r="F18" s="77"/>
      <c r="G18" s="78">
        <f>G16+G17</f>
        <v>465475.30799999996</v>
      </c>
      <c r="H18" s="111">
        <f t="shared" si="0"/>
        <v>2.5278337569240792</v>
      </c>
      <c r="I18" s="79"/>
      <c r="J18" s="28"/>
      <c r="K18" s="80"/>
      <c r="L18" s="24"/>
      <c r="M18" s="24"/>
    </row>
    <row r="19" spans="1:13" x14ac:dyDescent="0.25">
      <c r="A19" s="24"/>
      <c r="B19" s="24"/>
      <c r="C19" s="100" t="s">
        <v>113</v>
      </c>
      <c r="D19" s="24"/>
      <c r="E19" s="24"/>
      <c r="F19" s="25"/>
      <c r="G19" s="25"/>
      <c r="H19" s="24"/>
      <c r="I19" s="24"/>
      <c r="J19" s="28"/>
      <c r="K19" s="24"/>
      <c r="L19" s="24"/>
      <c r="M19" s="24"/>
    </row>
    <row r="20" spans="1:13" x14ac:dyDescent="0.25">
      <c r="A20" s="24"/>
      <c r="B20" s="24"/>
      <c r="C20" s="100" t="s">
        <v>107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x14ac:dyDescent="0.25">
      <c r="A21" s="25"/>
      <c r="B21" s="25"/>
      <c r="C21" s="29"/>
      <c r="D21" s="26"/>
      <c r="E21" s="25"/>
      <c r="F21" s="25"/>
      <c r="G21" s="25"/>
      <c r="H21" s="25"/>
      <c r="I21" s="25"/>
      <c r="J21" s="25"/>
      <c r="K21" s="25"/>
      <c r="L21" s="25"/>
      <c r="M21" s="25"/>
    </row>
    <row r="22" spans="1:13" x14ac:dyDescent="0.25">
      <c r="D22" s="24"/>
      <c r="E22" s="24"/>
      <c r="F22" s="24"/>
      <c r="G22" s="24"/>
    </row>
    <row r="25" spans="1:13" x14ac:dyDescent="0.25">
      <c r="D25" s="24"/>
      <c r="E25" s="24"/>
      <c r="F25" s="24"/>
      <c r="G25" s="81"/>
    </row>
    <row r="26" spans="1:13" x14ac:dyDescent="0.25">
      <c r="D26" s="24"/>
      <c r="E26" s="24"/>
      <c r="F26" s="52"/>
      <c r="G26" s="24"/>
    </row>
    <row r="31" spans="1:13" x14ac:dyDescent="0.25">
      <c r="D31" s="82"/>
      <c r="E31" s="83"/>
      <c r="F31" s="24"/>
      <c r="G31" s="24"/>
    </row>
    <row r="32" spans="1:13" x14ac:dyDescent="0.25">
      <c r="D32" s="24"/>
      <c r="E32" s="83"/>
      <c r="F32" s="24"/>
      <c r="G32" s="24"/>
    </row>
    <row r="35" spans="4:8" x14ac:dyDescent="0.25">
      <c r="D35" s="24"/>
      <c r="E35" s="24"/>
      <c r="F35" s="84"/>
      <c r="G35" s="24"/>
    </row>
    <row r="39" spans="4:8" x14ac:dyDescent="0.25">
      <c r="D39" s="24"/>
      <c r="E39" s="24"/>
      <c r="F39" s="84"/>
      <c r="G39" s="24"/>
      <c r="H39" s="24"/>
    </row>
    <row r="41" spans="4:8" x14ac:dyDescent="0.25">
      <c r="D41" s="82"/>
      <c r="E41" s="83"/>
      <c r="F41" s="24"/>
      <c r="G41" s="24"/>
      <c r="H41" s="24"/>
    </row>
    <row r="42" spans="4:8" x14ac:dyDescent="0.25">
      <c r="D42" s="82"/>
      <c r="E42" s="83"/>
      <c r="F42" s="24"/>
      <c r="G42" s="84"/>
      <c r="H42" s="8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3">
    <tabColor rgb="FFFF0000"/>
  </sheetPr>
  <dimension ref="A1:M42"/>
  <sheetViews>
    <sheetView workbookViewId="0">
      <selection activeCell="C8" sqref="C8"/>
    </sheetView>
  </sheetViews>
  <sheetFormatPr defaultRowHeight="15" x14ac:dyDescent="0.25"/>
  <cols>
    <col min="3" max="3" width="77.42578125" bestFit="1" customWidth="1"/>
    <col min="5" max="5" width="10.42578125" bestFit="1" customWidth="1"/>
    <col min="6" max="6" width="20.85546875" customWidth="1"/>
    <col min="7" max="7" width="21.42578125" customWidth="1"/>
    <col min="8" max="8" width="10.85546875" bestFit="1" customWidth="1"/>
    <col min="9" max="9" width="15" customWidth="1"/>
    <col min="11" max="11" width="22" bestFit="1" customWidth="1"/>
  </cols>
  <sheetData>
    <row r="1" spans="1:13" ht="15.75" thickBot="1" x14ac:dyDescent="0.3">
      <c r="B1" s="24"/>
      <c r="C1" s="24"/>
      <c r="D1" s="24"/>
      <c r="E1" s="24"/>
      <c r="F1" s="30"/>
      <c r="G1" s="24"/>
      <c r="H1" s="24"/>
      <c r="I1" s="24"/>
      <c r="J1" s="24"/>
      <c r="K1" s="24"/>
      <c r="L1" s="24"/>
      <c r="M1" s="24"/>
    </row>
    <row r="2" spans="1:13" ht="15.75" thickBot="1" x14ac:dyDescent="0.3">
      <c r="B2" s="24"/>
      <c r="C2" s="31" t="s">
        <v>127</v>
      </c>
      <c r="D2" s="31">
        <f>E4*0.31</f>
        <v>3.7199999999999998</v>
      </c>
      <c r="E2" s="31" t="s">
        <v>64</v>
      </c>
      <c r="F2" s="25">
        <v>4</v>
      </c>
      <c r="G2" s="32" t="s">
        <v>65</v>
      </c>
      <c r="H2" s="25">
        <v>3</v>
      </c>
      <c r="I2" s="25" t="s">
        <v>66</v>
      </c>
      <c r="J2" s="24"/>
      <c r="K2" s="33" t="s">
        <v>67</v>
      </c>
      <c r="L2" s="24"/>
      <c r="M2" s="24"/>
    </row>
    <row r="3" spans="1:13" ht="30.75" thickBot="1" x14ac:dyDescent="0.3">
      <c r="B3" s="34" t="s">
        <v>33</v>
      </c>
      <c r="C3" s="35" t="s">
        <v>0</v>
      </c>
      <c r="D3" s="36" t="s">
        <v>68</v>
      </c>
      <c r="E3" s="37" t="s">
        <v>69</v>
      </c>
      <c r="F3" s="38" t="s">
        <v>70</v>
      </c>
      <c r="G3" s="38" t="s">
        <v>71</v>
      </c>
      <c r="H3" s="39" t="s">
        <v>72</v>
      </c>
      <c r="I3" s="40" t="s">
        <v>73</v>
      </c>
      <c r="J3" s="24"/>
      <c r="K3" s="41" t="s">
        <v>74</v>
      </c>
      <c r="L3" s="42">
        <f>D2*1000</f>
        <v>3719.9999999999995</v>
      </c>
      <c r="M3" s="24"/>
    </row>
    <row r="4" spans="1:13" ht="15.75" thickBot="1" x14ac:dyDescent="0.3">
      <c r="B4" s="43">
        <v>1</v>
      </c>
      <c r="C4" s="44" t="s">
        <v>105</v>
      </c>
      <c r="D4" s="45" t="s">
        <v>75</v>
      </c>
      <c r="E4" s="46">
        <v>12</v>
      </c>
      <c r="F4" s="47">
        <f>0.29*L4*310</f>
        <v>5933.3999999999987</v>
      </c>
      <c r="G4" s="47">
        <f>F4*E4</f>
        <v>71200.799999999988</v>
      </c>
      <c r="H4" s="92">
        <f>G4/$L$3/$L$4</f>
        <v>0.29000000000000004</v>
      </c>
      <c r="I4" s="48"/>
      <c r="J4" s="24"/>
      <c r="K4" s="41" t="s">
        <v>76</v>
      </c>
      <c r="L4" s="49">
        <v>66</v>
      </c>
      <c r="M4" s="24"/>
    </row>
    <row r="5" spans="1:13" ht="15.75" thickBot="1" x14ac:dyDescent="0.3">
      <c r="B5" s="93">
        <v>2</v>
      </c>
      <c r="C5" s="94" t="s">
        <v>106</v>
      </c>
      <c r="D5" s="95" t="s">
        <v>75</v>
      </c>
      <c r="E5" s="96">
        <v>1</v>
      </c>
      <c r="F5" s="97">
        <v>20000</v>
      </c>
      <c r="G5" s="98">
        <f>E5*F5</f>
        <v>20000</v>
      </c>
      <c r="H5" s="99">
        <f t="shared" ref="H5:H18" si="0">G5/$L$3/$L$4</f>
        <v>8.1459758879113719E-2</v>
      </c>
      <c r="I5" s="54"/>
      <c r="J5" s="24"/>
      <c r="K5" s="41" t="s">
        <v>77</v>
      </c>
      <c r="L5" s="55">
        <v>76</v>
      </c>
      <c r="M5" s="56"/>
    </row>
    <row r="6" spans="1:13" x14ac:dyDescent="0.25">
      <c r="B6" s="93">
        <v>3</v>
      </c>
      <c r="C6" s="94" t="s">
        <v>126</v>
      </c>
      <c r="D6" s="95" t="s">
        <v>75</v>
      </c>
      <c r="E6" s="96">
        <v>1</v>
      </c>
      <c r="F6" s="97">
        <f>1798.5*L5</f>
        <v>136686</v>
      </c>
      <c r="G6" s="98">
        <f>F6*E6</f>
        <v>136686</v>
      </c>
      <c r="H6" s="99">
        <f t="shared" si="0"/>
        <v>0.55672043010752692</v>
      </c>
      <c r="I6" s="54"/>
      <c r="J6" s="24"/>
      <c r="K6" s="112"/>
      <c r="L6" s="113"/>
      <c r="M6" s="56"/>
    </row>
    <row r="7" spans="1:13" x14ac:dyDescent="0.25">
      <c r="B7" s="43">
        <v>5</v>
      </c>
      <c r="C7" s="50" t="s">
        <v>108</v>
      </c>
      <c r="D7" s="45" t="s">
        <v>78</v>
      </c>
      <c r="E7" s="51">
        <v>100</v>
      </c>
      <c r="F7" s="52">
        <v>50.2</v>
      </c>
      <c r="G7" s="53">
        <f>F7*E7</f>
        <v>5020</v>
      </c>
      <c r="H7" s="92">
        <f t="shared" si="0"/>
        <v>2.0446399478657545E-2</v>
      </c>
      <c r="I7" s="54"/>
      <c r="J7" s="24"/>
      <c r="K7" s="24"/>
      <c r="L7" s="24"/>
      <c r="M7" s="24"/>
    </row>
    <row r="8" spans="1:13" x14ac:dyDescent="0.25">
      <c r="B8" s="93">
        <v>6</v>
      </c>
      <c r="C8" s="94" t="s">
        <v>121</v>
      </c>
      <c r="D8" s="45" t="s">
        <v>75</v>
      </c>
      <c r="E8" s="51">
        <v>1</v>
      </c>
      <c r="F8" s="52">
        <f>4680*L5</f>
        <v>355680</v>
      </c>
      <c r="G8" s="53">
        <f>F8*E8</f>
        <v>355680</v>
      </c>
      <c r="H8" s="92">
        <f t="shared" si="0"/>
        <v>1.4486803519061586</v>
      </c>
      <c r="I8" s="54"/>
      <c r="J8" s="24"/>
      <c r="K8" s="25"/>
      <c r="L8" s="25"/>
      <c r="M8" s="24"/>
    </row>
    <row r="9" spans="1:13" ht="15.75" thickBot="1" x14ac:dyDescent="0.3">
      <c r="B9" s="43">
        <v>8</v>
      </c>
      <c r="C9" s="57" t="s">
        <v>117</v>
      </c>
      <c r="D9" s="86" t="s">
        <v>75</v>
      </c>
      <c r="E9" s="58">
        <v>1</v>
      </c>
      <c r="F9" s="59">
        <v>1000</v>
      </c>
      <c r="G9" s="59">
        <f>F9*E9</f>
        <v>1000</v>
      </c>
      <c r="H9" s="101">
        <f t="shared" si="0"/>
        <v>4.0729879439556863E-3</v>
      </c>
      <c r="I9" s="60"/>
      <c r="J9" s="24"/>
      <c r="K9" s="24"/>
      <c r="L9" s="24"/>
      <c r="M9" s="24"/>
    </row>
    <row r="10" spans="1:13" x14ac:dyDescent="0.25">
      <c r="B10" s="43">
        <v>9</v>
      </c>
      <c r="C10" s="87" t="s">
        <v>82</v>
      </c>
      <c r="D10" s="61"/>
      <c r="E10" s="62"/>
      <c r="F10" s="63"/>
      <c r="G10" s="88">
        <f>SUM(G4:G9)</f>
        <v>589586.80000000005</v>
      </c>
      <c r="H10" s="103">
        <f t="shared" si="0"/>
        <v>2.4013799283154129</v>
      </c>
      <c r="I10" s="64"/>
      <c r="J10" s="28"/>
      <c r="K10" s="24"/>
      <c r="L10" s="24"/>
      <c r="M10" s="24"/>
    </row>
    <row r="11" spans="1:13" x14ac:dyDescent="0.25">
      <c r="B11" s="43">
        <v>10</v>
      </c>
      <c r="C11" s="89" t="s">
        <v>83</v>
      </c>
      <c r="D11" s="85"/>
      <c r="E11" s="51">
        <v>0</v>
      </c>
      <c r="F11" s="53">
        <v>0</v>
      </c>
      <c r="G11" s="65">
        <v>0</v>
      </c>
      <c r="H11" s="102">
        <f t="shared" si="0"/>
        <v>0</v>
      </c>
      <c r="I11" s="91"/>
      <c r="J11" s="28"/>
      <c r="K11" s="24"/>
      <c r="L11" s="24"/>
      <c r="M11" s="24"/>
    </row>
    <row r="12" spans="1:13" x14ac:dyDescent="0.25">
      <c r="B12" s="43">
        <v>11</v>
      </c>
      <c r="C12" s="89" t="s">
        <v>84</v>
      </c>
      <c r="D12" s="85"/>
      <c r="E12" s="51">
        <v>0</v>
      </c>
      <c r="F12" s="53">
        <v>0</v>
      </c>
      <c r="G12" s="65">
        <v>0</v>
      </c>
      <c r="H12" s="102">
        <f t="shared" si="0"/>
        <v>0</v>
      </c>
      <c r="I12" s="91"/>
      <c r="J12" s="28"/>
      <c r="K12" s="24"/>
      <c r="L12" s="24"/>
      <c r="M12" s="24"/>
    </row>
    <row r="13" spans="1:13" ht="15.75" thickBot="1" x14ac:dyDescent="0.3">
      <c r="B13" s="43">
        <v>12</v>
      </c>
      <c r="C13" s="90" t="s">
        <v>85</v>
      </c>
      <c r="D13" s="66" t="s">
        <v>86</v>
      </c>
      <c r="E13" s="67">
        <v>0</v>
      </c>
      <c r="F13" s="68"/>
      <c r="G13" s="69">
        <v>0</v>
      </c>
      <c r="H13" s="104">
        <f t="shared" si="0"/>
        <v>0</v>
      </c>
      <c r="I13" s="70"/>
      <c r="J13" s="28"/>
      <c r="K13" s="24"/>
      <c r="L13" s="24"/>
      <c r="M13" s="24"/>
    </row>
    <row r="14" spans="1:13" x14ac:dyDescent="0.25">
      <c r="B14" s="24"/>
      <c r="C14" s="105" t="s">
        <v>87</v>
      </c>
      <c r="D14" s="106"/>
      <c r="E14" s="107"/>
      <c r="F14" s="107"/>
      <c r="G14" s="108">
        <f>SUM(G10:G13)</f>
        <v>589586.80000000005</v>
      </c>
      <c r="H14" s="109">
        <f t="shared" si="0"/>
        <v>2.4013799283154129</v>
      </c>
      <c r="I14" s="71"/>
      <c r="J14" s="28"/>
      <c r="K14" s="24"/>
      <c r="L14" s="24"/>
      <c r="M14" s="24"/>
    </row>
    <row r="15" spans="1:13" x14ac:dyDescent="0.25">
      <c r="B15" s="24"/>
      <c r="C15" s="72" t="s">
        <v>109</v>
      </c>
      <c r="D15" s="43" t="s">
        <v>86</v>
      </c>
      <c r="E15" s="73">
        <v>0</v>
      </c>
      <c r="F15" s="27"/>
      <c r="G15" s="74">
        <f>G14*E15</f>
        <v>0</v>
      </c>
      <c r="H15" s="110">
        <f t="shared" si="0"/>
        <v>0</v>
      </c>
      <c r="I15" s="71"/>
      <c r="J15" s="28"/>
      <c r="K15" s="24"/>
      <c r="L15" s="24"/>
      <c r="M15" s="24"/>
    </row>
    <row r="16" spans="1:13" x14ac:dyDescent="0.25">
      <c r="A16" s="24"/>
      <c r="B16" s="24"/>
      <c r="C16" s="72" t="s">
        <v>110</v>
      </c>
      <c r="D16" s="43"/>
      <c r="E16" s="73"/>
      <c r="F16" s="27"/>
      <c r="G16" s="74">
        <f>G14+G15</f>
        <v>589586.80000000005</v>
      </c>
      <c r="H16" s="110">
        <f t="shared" si="0"/>
        <v>2.4013799283154129</v>
      </c>
      <c r="I16" s="71"/>
      <c r="J16" s="28"/>
      <c r="K16" s="24"/>
      <c r="L16" s="24"/>
      <c r="M16" s="24"/>
    </row>
    <row r="17" spans="1:13" x14ac:dyDescent="0.25">
      <c r="A17" s="24"/>
      <c r="B17" s="24"/>
      <c r="C17" s="72" t="s">
        <v>90</v>
      </c>
      <c r="D17" s="43"/>
      <c r="E17" s="27"/>
      <c r="F17" s="27"/>
      <c r="G17" s="74">
        <f>G16*0.18</f>
        <v>106125.62400000001</v>
      </c>
      <c r="H17" s="110">
        <f t="shared" si="0"/>
        <v>0.43224838709677432</v>
      </c>
      <c r="I17" s="71"/>
      <c r="J17" s="28"/>
      <c r="K17" s="24"/>
      <c r="L17" s="24"/>
      <c r="M17" s="24"/>
    </row>
    <row r="18" spans="1:13" ht="15.75" thickBot="1" x14ac:dyDescent="0.3">
      <c r="A18" s="24"/>
      <c r="B18" s="24"/>
      <c r="C18" s="75" t="s">
        <v>91</v>
      </c>
      <c r="D18" s="76"/>
      <c r="E18" s="77"/>
      <c r="F18" s="77"/>
      <c r="G18" s="78">
        <f>G16+G17</f>
        <v>695712.42400000012</v>
      </c>
      <c r="H18" s="111">
        <f t="shared" si="0"/>
        <v>2.8336283154121871</v>
      </c>
      <c r="I18" s="79"/>
      <c r="J18" s="28"/>
      <c r="K18" s="80"/>
      <c r="L18" s="24"/>
      <c r="M18" s="24"/>
    </row>
    <row r="19" spans="1:13" x14ac:dyDescent="0.25">
      <c r="A19" s="24"/>
      <c r="B19" s="24"/>
      <c r="C19" s="100" t="s">
        <v>113</v>
      </c>
      <c r="D19" s="24"/>
      <c r="E19" s="24"/>
      <c r="F19" s="25"/>
      <c r="G19" s="25"/>
      <c r="H19" s="24"/>
      <c r="I19" s="24"/>
      <c r="J19" s="28"/>
      <c r="K19" s="24"/>
      <c r="L19" s="24"/>
      <c r="M19" s="24"/>
    </row>
    <row r="20" spans="1:13" x14ac:dyDescent="0.25">
      <c r="A20" s="24"/>
      <c r="B20" s="24"/>
      <c r="C20" s="100" t="s">
        <v>107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x14ac:dyDescent="0.25">
      <c r="A21" s="25"/>
      <c r="B21" s="25"/>
      <c r="C21" s="29"/>
      <c r="D21" s="26"/>
      <c r="E21" s="25"/>
      <c r="F21" s="25"/>
      <c r="G21" s="25"/>
      <c r="H21" s="25"/>
      <c r="I21" s="25"/>
      <c r="J21" s="25"/>
      <c r="K21" s="25"/>
      <c r="L21" s="25"/>
      <c r="M21" s="25"/>
    </row>
    <row r="22" spans="1:13" x14ac:dyDescent="0.25">
      <c r="D22" s="24"/>
      <c r="E22" s="24"/>
      <c r="F22" s="24"/>
      <c r="G22" s="24"/>
    </row>
    <row r="25" spans="1:13" x14ac:dyDescent="0.25">
      <c r="D25" s="24"/>
      <c r="E25" s="24"/>
      <c r="F25" s="24"/>
      <c r="G25" s="81"/>
    </row>
    <row r="26" spans="1:13" x14ac:dyDescent="0.25">
      <c r="D26" s="24"/>
      <c r="E26" s="24"/>
      <c r="F26" s="52"/>
      <c r="G26" s="24"/>
    </row>
    <row r="31" spans="1:13" x14ac:dyDescent="0.25">
      <c r="D31" s="82"/>
      <c r="E31" s="83"/>
      <c r="F31" s="24"/>
      <c r="G31" s="24"/>
    </row>
    <row r="32" spans="1:13" x14ac:dyDescent="0.25">
      <c r="D32" s="24"/>
      <c r="E32" s="83"/>
      <c r="F32" s="24"/>
      <c r="G32" s="24"/>
    </row>
    <row r="35" spans="4:8" x14ac:dyDescent="0.25">
      <c r="D35" s="24"/>
      <c r="E35" s="24"/>
      <c r="F35" s="84"/>
      <c r="G35" s="24"/>
    </row>
    <row r="39" spans="4:8" x14ac:dyDescent="0.25">
      <c r="D39" s="24"/>
      <c r="E39" s="24"/>
      <c r="F39" s="84"/>
      <c r="G39" s="24"/>
      <c r="H39" s="24"/>
    </row>
    <row r="41" spans="4:8" x14ac:dyDescent="0.25">
      <c r="D41" s="82"/>
      <c r="E41" s="83"/>
      <c r="F41" s="24"/>
      <c r="G41" s="24"/>
      <c r="H41" s="24"/>
    </row>
    <row r="42" spans="4:8" x14ac:dyDescent="0.25">
      <c r="D42" s="82"/>
      <c r="E42" s="83"/>
      <c r="F42" s="24"/>
      <c r="G42" s="84"/>
      <c r="H42" s="8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4"/>
  <dimension ref="A1:Y101"/>
  <sheetViews>
    <sheetView workbookViewId="0">
      <selection activeCell="C24" sqref="C24"/>
    </sheetView>
  </sheetViews>
  <sheetFormatPr defaultColWidth="8.85546875" defaultRowHeight="15" x14ac:dyDescent="0.25"/>
  <cols>
    <col min="1" max="1" width="2" style="209" customWidth="1"/>
    <col min="2" max="2" width="4.140625" style="209" customWidth="1"/>
    <col min="3" max="3" width="82.42578125" style="209" customWidth="1"/>
    <col min="4" max="4" width="17.5703125" style="211" bestFit="1" customWidth="1"/>
    <col min="5" max="5" width="10.5703125" style="209" customWidth="1"/>
    <col min="6" max="6" width="19.42578125" style="209" bestFit="1" customWidth="1"/>
    <col min="7" max="7" width="32.140625" style="209" customWidth="1"/>
    <col min="8" max="8" width="12.140625" style="209" customWidth="1"/>
    <col min="9" max="9" width="19.85546875" style="209" customWidth="1"/>
    <col min="10" max="10" width="13.140625" style="209" bestFit="1" customWidth="1"/>
    <col min="11" max="11" width="20.42578125" style="209" customWidth="1"/>
    <col min="12" max="12" width="16.42578125" style="209" customWidth="1"/>
    <col min="13" max="13" width="17.140625" style="209" customWidth="1"/>
    <col min="14" max="14" width="4.42578125" style="209" customWidth="1"/>
    <col min="15" max="15" width="62.140625" style="212" customWidth="1"/>
    <col min="16" max="17" width="19.5703125" style="209" customWidth="1"/>
    <col min="18" max="18" width="17.42578125" style="209" customWidth="1"/>
    <col min="19" max="19" width="19.85546875" style="209" customWidth="1"/>
    <col min="20" max="20" width="8.85546875" style="209" customWidth="1"/>
    <col min="21" max="21" width="20.140625" style="209" customWidth="1"/>
    <col min="22" max="22" width="11.85546875" style="209" bestFit="1" customWidth="1"/>
    <col min="23" max="23" width="8.85546875" style="209"/>
    <col min="24" max="24" width="36.140625" style="209" customWidth="1"/>
    <col min="25" max="25" width="9.5703125" style="209" bestFit="1" customWidth="1"/>
    <col min="26" max="16384" width="8.85546875" style="209"/>
  </cols>
  <sheetData>
    <row r="1" spans="2:17" x14ac:dyDescent="0.25">
      <c r="B1" s="210"/>
      <c r="C1" s="210"/>
    </row>
    <row r="2" spans="2:17" ht="15.75" x14ac:dyDescent="0.25">
      <c r="B2" s="213"/>
      <c r="C2" s="213" t="s">
        <v>166</v>
      </c>
      <c r="D2" s="214">
        <v>10.95</v>
      </c>
      <c r="E2" s="215" t="s">
        <v>64</v>
      </c>
    </row>
    <row r="3" spans="2:17" ht="16.5" thickBot="1" x14ac:dyDescent="0.3">
      <c r="B3" s="216"/>
      <c r="C3" s="213" t="s">
        <v>167</v>
      </c>
      <c r="D3" s="215">
        <v>365</v>
      </c>
      <c r="E3" s="215" t="s">
        <v>168</v>
      </c>
      <c r="F3" s="217"/>
      <c r="G3" s="218"/>
      <c r="H3" s="217"/>
    </row>
    <row r="4" spans="2:17" ht="32.25" thickBot="1" x14ac:dyDescent="0.3">
      <c r="B4" s="216"/>
      <c r="C4" s="213" t="s">
        <v>169</v>
      </c>
      <c r="D4" s="219">
        <v>40</v>
      </c>
      <c r="E4" s="215" t="s">
        <v>80</v>
      </c>
      <c r="F4" s="217"/>
      <c r="G4" s="220" t="s">
        <v>170</v>
      </c>
      <c r="H4" s="217"/>
    </row>
    <row r="5" spans="2:17" ht="15.75" x14ac:dyDescent="0.25">
      <c r="B5" s="216"/>
      <c r="C5" s="213"/>
      <c r="D5" s="214"/>
      <c r="E5" s="215"/>
      <c r="F5" s="217"/>
      <c r="G5" s="218"/>
      <c r="H5" s="217"/>
    </row>
    <row r="6" spans="2:17" ht="15.75" x14ac:dyDescent="0.25">
      <c r="B6" s="216"/>
      <c r="C6" s="213" t="s">
        <v>171</v>
      </c>
      <c r="D6" s="221">
        <v>100</v>
      </c>
      <c r="E6" s="215" t="s">
        <v>172</v>
      </c>
      <c r="F6" s="217"/>
      <c r="G6" s="218"/>
      <c r="H6" s="217"/>
    </row>
    <row r="7" spans="2:17" ht="15.75" x14ac:dyDescent="0.25">
      <c r="B7" s="216"/>
      <c r="C7" s="213" t="s">
        <v>173</v>
      </c>
      <c r="D7" s="215">
        <v>3.2</v>
      </c>
      <c r="E7" s="215" t="s">
        <v>174</v>
      </c>
      <c r="F7" s="217"/>
      <c r="H7" s="217"/>
    </row>
    <row r="8" spans="2:17" ht="15.75" x14ac:dyDescent="0.25">
      <c r="B8" s="216"/>
      <c r="C8" s="213" t="s">
        <v>175</v>
      </c>
      <c r="D8" s="215">
        <v>4</v>
      </c>
      <c r="E8" s="215" t="s">
        <v>75</v>
      </c>
      <c r="F8" s="217"/>
      <c r="H8" s="217"/>
    </row>
    <row r="9" spans="2:17" ht="15.75" x14ac:dyDescent="0.25">
      <c r="B9" s="216"/>
      <c r="C9" s="213" t="s">
        <v>176</v>
      </c>
      <c r="D9" s="215">
        <v>16</v>
      </c>
      <c r="E9" s="215" t="s">
        <v>75</v>
      </c>
      <c r="F9" s="217"/>
      <c r="G9" s="218"/>
      <c r="H9" s="217"/>
    </row>
    <row r="10" spans="2:17" ht="15.75" x14ac:dyDescent="0.25">
      <c r="B10" s="216"/>
      <c r="C10" s="213" t="s">
        <v>177</v>
      </c>
      <c r="D10" s="221">
        <f>ROUNDUP(D4*1000/(D7*D6*D8*D9),0)</f>
        <v>2</v>
      </c>
      <c r="E10" s="215" t="s">
        <v>75</v>
      </c>
      <c r="F10" s="217"/>
      <c r="G10" s="218"/>
      <c r="H10" s="218"/>
      <c r="I10" s="218"/>
    </row>
    <row r="11" spans="2:17" ht="15.75" x14ac:dyDescent="0.25">
      <c r="B11" s="216"/>
      <c r="C11" s="213"/>
      <c r="D11" s="221"/>
      <c r="E11" s="215"/>
      <c r="F11" s="217"/>
      <c r="G11" s="218"/>
      <c r="H11" s="218"/>
      <c r="I11" s="218"/>
    </row>
    <row r="12" spans="2:17" ht="15.75" x14ac:dyDescent="0.25">
      <c r="B12" s="216"/>
      <c r="C12" s="213" t="s">
        <v>178</v>
      </c>
      <c r="D12" s="221">
        <f>D6*D7*D15*D14*D10/1000</f>
        <v>40.96</v>
      </c>
      <c r="E12" s="215" t="s">
        <v>80</v>
      </c>
      <c r="F12" s="222"/>
      <c r="G12" s="218"/>
      <c r="H12" s="218"/>
      <c r="I12" s="218"/>
    </row>
    <row r="13" spans="2:17" ht="15.75" x14ac:dyDescent="0.25">
      <c r="B13" s="216"/>
      <c r="C13" s="213" t="s">
        <v>179</v>
      </c>
      <c r="D13" s="215">
        <v>0.9</v>
      </c>
      <c r="E13" s="215" t="s">
        <v>180</v>
      </c>
      <c r="F13" s="223" t="s">
        <v>181</v>
      </c>
      <c r="G13" s="218"/>
      <c r="H13" s="217"/>
    </row>
    <row r="14" spans="2:17" ht="15.75" x14ac:dyDescent="0.25">
      <c r="B14" s="216"/>
      <c r="C14" s="224" t="s">
        <v>182</v>
      </c>
      <c r="D14" s="215">
        <f>ROUNDUP((D4*1000/D10)/(D15*D6*D7),0)</f>
        <v>4</v>
      </c>
      <c r="E14" s="215"/>
      <c r="G14" s="218"/>
      <c r="H14" s="217"/>
    </row>
    <row r="15" spans="2:17" ht="15.75" x14ac:dyDescent="0.25">
      <c r="B15" s="216"/>
      <c r="C15" s="224" t="s">
        <v>183</v>
      </c>
      <c r="D15" s="215">
        <f>D9</f>
        <v>16</v>
      </c>
      <c r="E15" s="215"/>
      <c r="F15" s="222"/>
      <c r="G15" s="218"/>
      <c r="H15" s="217"/>
    </row>
    <row r="16" spans="2:17" ht="15.75" x14ac:dyDescent="0.25">
      <c r="B16" s="216"/>
      <c r="C16" s="224"/>
      <c r="D16" s="215"/>
      <c r="E16" s="215"/>
      <c r="F16" s="222"/>
      <c r="G16" s="218"/>
      <c r="H16" s="217"/>
      <c r="N16" s="225"/>
      <c r="O16" s="226"/>
      <c r="P16" s="225"/>
      <c r="Q16" s="225"/>
    </row>
    <row r="17" spans="2:25" ht="15.75" x14ac:dyDescent="0.25">
      <c r="B17" s="216"/>
      <c r="C17" s="224" t="s">
        <v>184</v>
      </c>
      <c r="D17" s="215">
        <f>D7*D15</f>
        <v>51.2</v>
      </c>
      <c r="E17" s="215"/>
      <c r="F17" s="217"/>
      <c r="G17" s="218"/>
      <c r="H17" s="217"/>
      <c r="N17" s="225"/>
      <c r="O17" s="226"/>
      <c r="P17" s="225"/>
      <c r="Q17" s="225"/>
    </row>
    <row r="18" spans="2:25" ht="15.75" x14ac:dyDescent="0.25">
      <c r="B18" s="216"/>
      <c r="C18" s="224"/>
      <c r="D18" s="215"/>
      <c r="E18" s="215"/>
      <c r="F18" s="222"/>
      <c r="G18" s="218"/>
      <c r="H18" s="217"/>
      <c r="N18" s="225"/>
      <c r="O18" s="512"/>
      <c r="P18" s="225"/>
      <c r="Q18" s="225"/>
    </row>
    <row r="19" spans="2:25" ht="15.75" x14ac:dyDescent="0.25">
      <c r="B19" s="216"/>
      <c r="C19" s="213"/>
      <c r="D19" s="215"/>
      <c r="E19" s="215"/>
      <c r="F19" s="209">
        <v>3</v>
      </c>
      <c r="G19" s="227" t="s">
        <v>65</v>
      </c>
      <c r="H19" s="209">
        <v>15</v>
      </c>
      <c r="N19" s="225"/>
      <c r="O19" s="512"/>
      <c r="P19" s="225"/>
      <c r="Q19" s="225"/>
    </row>
    <row r="20" spans="2:25" ht="31.5" x14ac:dyDescent="0.25">
      <c r="B20" s="228" t="s">
        <v>33</v>
      </c>
      <c r="C20" s="228" t="s">
        <v>0</v>
      </c>
      <c r="D20" s="229" t="s">
        <v>68</v>
      </c>
      <c r="E20" s="228" t="s">
        <v>69</v>
      </c>
      <c r="F20" s="229" t="s">
        <v>70</v>
      </c>
      <c r="G20" s="229" t="s">
        <v>71</v>
      </c>
      <c r="H20" s="229" t="s">
        <v>72</v>
      </c>
      <c r="I20" s="229" t="s">
        <v>185</v>
      </c>
      <c r="K20" s="209" t="s">
        <v>66</v>
      </c>
      <c r="L20" s="230">
        <f>D2*1000</f>
        <v>10950</v>
      </c>
      <c r="N20" s="225"/>
      <c r="O20" s="226"/>
      <c r="P20" s="225"/>
      <c r="Q20" s="225"/>
    </row>
    <row r="21" spans="2:25" ht="15.75" x14ac:dyDescent="0.25">
      <c r="B21" s="231">
        <v>1</v>
      </c>
      <c r="C21" s="224" t="str">
        <f>CONCATENATE("Фотоэлектрические модули ",TEXT(D3,0)," Вт")</f>
        <v>Фотоэлектрические модули 365 Вт</v>
      </c>
      <c r="D21" s="231" t="s">
        <v>75</v>
      </c>
      <c r="E21" s="232">
        <v>28</v>
      </c>
      <c r="F21" s="233">
        <f>0.28*D3*L21</f>
        <v>6643</v>
      </c>
      <c r="G21" s="234">
        <f>E21*F21</f>
        <v>186004</v>
      </c>
      <c r="H21" s="235">
        <f>G21/$L$20/$L$21</f>
        <v>0.26133333333333336</v>
      </c>
      <c r="I21" s="236">
        <f>G21/$G$46</f>
        <v>6.4966037117039702E-2</v>
      </c>
      <c r="K21" s="209" t="s">
        <v>186</v>
      </c>
      <c r="L21" s="237">
        <v>65</v>
      </c>
      <c r="N21" s="238"/>
      <c r="O21" s="226"/>
      <c r="P21" s="239"/>
      <c r="Q21" s="240"/>
      <c r="R21" s="241"/>
      <c r="U21" s="241"/>
      <c r="Y21" s="241"/>
    </row>
    <row r="22" spans="2:25" ht="20.25" customHeight="1" x14ac:dyDescent="0.25">
      <c r="B22" s="231">
        <v>2</v>
      </c>
      <c r="C22" s="224" t="s">
        <v>187</v>
      </c>
      <c r="D22" s="231" t="s">
        <v>75</v>
      </c>
      <c r="E22" s="232">
        <v>1</v>
      </c>
      <c r="F22" s="242">
        <f>200000</f>
        <v>200000</v>
      </c>
      <c r="G22" s="234">
        <f>F22*E22</f>
        <v>200000</v>
      </c>
      <c r="H22" s="235">
        <f t="shared" ref="H22:H46" si="0">G22/$L$20/$L$21</f>
        <v>0.28099754127151388</v>
      </c>
      <c r="I22" s="236">
        <f>G22/$G$46</f>
        <v>6.9854451643018109E-2</v>
      </c>
      <c r="K22" s="209" t="s">
        <v>188</v>
      </c>
      <c r="L22" s="243">
        <v>78</v>
      </c>
      <c r="N22" s="238"/>
      <c r="O22" s="226"/>
      <c r="P22" s="239"/>
      <c r="Q22" s="240"/>
      <c r="R22" s="241"/>
      <c r="U22" s="241"/>
      <c r="Y22" s="241"/>
    </row>
    <row r="23" spans="2:25" ht="15.75" x14ac:dyDescent="0.25">
      <c r="B23" s="231">
        <v>3</v>
      </c>
      <c r="C23" s="224" t="s">
        <v>189</v>
      </c>
      <c r="D23" s="231" t="s">
        <v>75</v>
      </c>
      <c r="E23" s="244">
        <v>3</v>
      </c>
      <c r="F23" s="242">
        <f>(357)*L22</f>
        <v>27846</v>
      </c>
      <c r="G23" s="234">
        <f t="shared" ref="G23:G29" si="1">F23*E23</f>
        <v>83538</v>
      </c>
      <c r="H23" s="235">
        <f t="shared" si="0"/>
        <v>0.11736986301369863</v>
      </c>
      <c r="I23" s="236">
        <f>G23/$G$46</f>
        <v>2.9177505906772237E-2</v>
      </c>
      <c r="N23" s="238"/>
      <c r="O23" s="226"/>
      <c r="P23" s="239"/>
      <c r="Q23" s="240"/>
      <c r="R23" s="241"/>
      <c r="U23" s="241"/>
      <c r="Y23" s="241"/>
    </row>
    <row r="24" spans="2:25" ht="15.75" x14ac:dyDescent="0.25">
      <c r="B24" s="231">
        <v>4</v>
      </c>
      <c r="C24" s="224" t="s">
        <v>190</v>
      </c>
      <c r="D24" s="231" t="s">
        <v>75</v>
      </c>
      <c r="E24" s="244">
        <v>1</v>
      </c>
      <c r="F24" s="242">
        <f>(165)*L22</f>
        <v>12870</v>
      </c>
      <c r="G24" s="234">
        <f>F24*E24</f>
        <v>12870</v>
      </c>
      <c r="H24" s="235"/>
      <c r="I24" s="236"/>
      <c r="N24" s="238"/>
      <c r="O24" s="226"/>
      <c r="P24" s="239"/>
      <c r="Q24" s="240"/>
      <c r="R24" s="241"/>
      <c r="U24" s="241"/>
      <c r="Y24" s="241"/>
    </row>
    <row r="25" spans="2:25" ht="15.75" x14ac:dyDescent="0.25">
      <c r="B25" s="231">
        <v>5</v>
      </c>
      <c r="C25" s="245" t="s">
        <v>191</v>
      </c>
      <c r="D25" s="231" t="s">
        <v>75</v>
      </c>
      <c r="E25" s="244">
        <v>3</v>
      </c>
      <c r="F25" s="242">
        <f>(2187)*L22</f>
        <v>170586</v>
      </c>
      <c r="G25" s="234">
        <f>F25*E25</f>
        <v>511758</v>
      </c>
      <c r="H25" s="235"/>
      <c r="I25" s="236"/>
      <c r="N25" s="238"/>
      <c r="O25" s="226"/>
      <c r="P25" s="239"/>
      <c r="Q25" s="240"/>
      <c r="R25" s="241"/>
      <c r="U25" s="241"/>
      <c r="Y25" s="241"/>
    </row>
    <row r="26" spans="2:25" ht="15.75" x14ac:dyDescent="0.25">
      <c r="B26" s="231">
        <v>6</v>
      </c>
      <c r="C26" s="224" t="s">
        <v>192</v>
      </c>
      <c r="D26" s="231" t="s">
        <v>75</v>
      </c>
      <c r="E26" s="244">
        <v>1</v>
      </c>
      <c r="F26" s="242">
        <v>30000</v>
      </c>
      <c r="G26" s="242">
        <v>30000</v>
      </c>
      <c r="H26" s="235"/>
      <c r="I26" s="236"/>
      <c r="N26" s="238"/>
      <c r="O26" s="226"/>
      <c r="P26" s="239"/>
      <c r="Q26" s="240"/>
      <c r="R26" s="241"/>
      <c r="U26" s="241"/>
      <c r="Y26" s="241"/>
    </row>
    <row r="27" spans="2:25" ht="15.75" x14ac:dyDescent="0.25">
      <c r="B27" s="231">
        <v>7</v>
      </c>
      <c r="C27" s="246" t="str">
        <f>CONCATENATE("аккумулятор LiFePO4 GBS",TEXT(D6,0)," Ач +ЗИП5%")</f>
        <v>аккумулятор LiFePO4 GBS100 Ач +ЗИП5%</v>
      </c>
      <c r="D27" s="231" t="s">
        <v>75</v>
      </c>
      <c r="E27" s="247">
        <f>ROUND(D15*D14*D10*1,0)</f>
        <v>128</v>
      </c>
      <c r="F27" s="248">
        <f>D13*D6*L21</f>
        <v>5850</v>
      </c>
      <c r="G27" s="234">
        <f t="shared" si="1"/>
        <v>748800</v>
      </c>
      <c r="H27" s="235">
        <f t="shared" si="0"/>
        <v>1.0520547945205481</v>
      </c>
      <c r="I27" s="236">
        <f t="shared" ref="I27:I33" si="2">G27/$G$46</f>
        <v>0.26153506695145978</v>
      </c>
      <c r="L27" s="249"/>
      <c r="N27" s="238"/>
      <c r="O27" s="226"/>
      <c r="P27" s="239"/>
      <c r="Q27" s="240"/>
      <c r="R27" s="241"/>
      <c r="U27" s="241"/>
      <c r="Y27" s="241"/>
    </row>
    <row r="28" spans="2:25" ht="15.75" x14ac:dyDescent="0.25">
      <c r="B28" s="231">
        <v>8</v>
      </c>
      <c r="C28" s="250" t="s">
        <v>193</v>
      </c>
      <c r="D28" s="231" t="s">
        <v>75</v>
      </c>
      <c r="E28" s="244">
        <f>E27</f>
        <v>128</v>
      </c>
      <c r="F28" s="242">
        <v>1200</v>
      </c>
      <c r="G28" s="234">
        <f t="shared" si="1"/>
        <v>153600</v>
      </c>
      <c r="H28" s="235">
        <f t="shared" si="0"/>
        <v>0.21580611169652264</v>
      </c>
      <c r="I28" s="236">
        <f t="shared" si="2"/>
        <v>5.3648218861837911E-2</v>
      </c>
      <c r="L28" s="249"/>
      <c r="N28" s="238"/>
      <c r="O28" s="226"/>
      <c r="P28" s="239"/>
      <c r="Q28" s="240"/>
      <c r="R28" s="241"/>
      <c r="U28" s="241"/>
      <c r="Y28" s="241"/>
    </row>
    <row r="29" spans="2:25" ht="15.75" x14ac:dyDescent="0.25">
      <c r="B29" s="231">
        <v>9</v>
      </c>
      <c r="C29" s="250" t="s">
        <v>194</v>
      </c>
      <c r="D29" s="231" t="s">
        <v>75</v>
      </c>
      <c r="E29" s="244">
        <f>D10</f>
        <v>2</v>
      </c>
      <c r="F29" s="242">
        <v>5000</v>
      </c>
      <c r="G29" s="234">
        <f t="shared" si="1"/>
        <v>10000</v>
      </c>
      <c r="H29" s="235">
        <f t="shared" si="0"/>
        <v>1.4049877063575692E-2</v>
      </c>
      <c r="I29" s="236">
        <f t="shared" si="2"/>
        <v>3.4927225821509058E-3</v>
      </c>
      <c r="L29" s="249"/>
      <c r="N29" s="225"/>
      <c r="O29" s="226"/>
      <c r="P29" s="239"/>
      <c r="Q29" s="240"/>
      <c r="R29" s="241"/>
      <c r="U29" s="241"/>
      <c r="Y29" s="241"/>
    </row>
    <row r="30" spans="2:25" ht="15.75" x14ac:dyDescent="0.25">
      <c r="B30" s="231">
        <v>10</v>
      </c>
      <c r="C30" s="250" t="s">
        <v>195</v>
      </c>
      <c r="D30" s="231" t="s">
        <v>75</v>
      </c>
      <c r="E30" s="244">
        <v>1</v>
      </c>
      <c r="F30" s="242">
        <v>25967</v>
      </c>
      <c r="G30" s="234">
        <f>F30*E30</f>
        <v>25967</v>
      </c>
      <c r="H30" s="235">
        <f t="shared" si="0"/>
        <v>3.6483315770986999E-2</v>
      </c>
      <c r="I30" s="236">
        <f t="shared" si="2"/>
        <v>9.0695527290712563E-3</v>
      </c>
      <c r="N30" s="225"/>
      <c r="O30" s="226"/>
      <c r="P30" s="239"/>
      <c r="Q30" s="240"/>
      <c r="R30" s="241"/>
      <c r="U30" s="241"/>
      <c r="Y30" s="241"/>
    </row>
    <row r="31" spans="2:25" ht="15.75" x14ac:dyDescent="0.25">
      <c r="B31" s="231">
        <v>11</v>
      </c>
      <c r="C31" s="250" t="s">
        <v>196</v>
      </c>
      <c r="D31" s="231" t="s">
        <v>75</v>
      </c>
      <c r="E31" s="244">
        <f>E29</f>
        <v>2</v>
      </c>
      <c r="F31" s="242">
        <v>10300</v>
      </c>
      <c r="G31" s="234">
        <f>F31*E31</f>
        <v>20600</v>
      </c>
      <c r="H31" s="235">
        <f t="shared" si="0"/>
        <v>2.8942746750965927E-2</v>
      </c>
      <c r="I31" s="236">
        <f t="shared" si="2"/>
        <v>7.1950085192308659E-3</v>
      </c>
      <c r="N31" s="225"/>
      <c r="O31" s="226"/>
      <c r="P31" s="225"/>
      <c r="Q31" s="240"/>
      <c r="R31" s="241"/>
      <c r="U31" s="241"/>
      <c r="Y31" s="241"/>
    </row>
    <row r="32" spans="2:25" ht="15.75" x14ac:dyDescent="0.25">
      <c r="B32" s="231">
        <v>12</v>
      </c>
      <c r="C32" s="250" t="s">
        <v>197</v>
      </c>
      <c r="D32" s="231" t="s">
        <v>75</v>
      </c>
      <c r="E32" s="244">
        <f>E28</f>
        <v>128</v>
      </c>
      <c r="F32" s="242">
        <v>400</v>
      </c>
      <c r="G32" s="234">
        <f>F32*E32</f>
        <v>51200</v>
      </c>
      <c r="H32" s="235">
        <f t="shared" si="0"/>
        <v>7.1935370565507542E-2</v>
      </c>
      <c r="I32" s="236">
        <f t="shared" si="2"/>
        <v>1.7882739620612636E-2</v>
      </c>
      <c r="N32" s="225"/>
      <c r="O32" s="226"/>
      <c r="P32" s="251"/>
      <c r="Q32" s="240"/>
      <c r="R32" s="241"/>
      <c r="U32" s="241"/>
      <c r="Y32" s="241"/>
    </row>
    <row r="33" spans="2:25" ht="15.75" x14ac:dyDescent="0.25">
      <c r="B33" s="231">
        <v>13</v>
      </c>
      <c r="C33" s="250" t="s">
        <v>198</v>
      </c>
      <c r="D33" s="231" t="s">
        <v>199</v>
      </c>
      <c r="E33" s="244">
        <v>1</v>
      </c>
      <c r="F33" s="248"/>
      <c r="G33" s="234">
        <f>100000/358*E27</f>
        <v>35754.189944134079</v>
      </c>
      <c r="H33" s="235">
        <f t="shared" si="0"/>
        <v>5.0234197322281814E-2</v>
      </c>
      <c r="I33" s="236">
        <f t="shared" si="2"/>
        <v>1.2487946662438992E-2</v>
      </c>
      <c r="N33" s="225"/>
      <c r="O33" s="226"/>
      <c r="P33" s="251"/>
      <c r="Q33" s="240"/>
      <c r="R33" s="241"/>
      <c r="U33" s="241"/>
      <c r="Y33" s="241"/>
    </row>
    <row r="34" spans="2:25" ht="15.75" x14ac:dyDescent="0.25">
      <c r="B34" s="231"/>
      <c r="C34" s="252" t="s">
        <v>200</v>
      </c>
      <c r="D34" s="231" t="s">
        <v>75</v>
      </c>
      <c r="E34" s="244">
        <v>1</v>
      </c>
      <c r="F34" s="248">
        <f>700000/1.18</f>
        <v>593220.3389830509</v>
      </c>
      <c r="G34" s="234">
        <f t="shared" ref="G34:G41" si="3">F34*E34</f>
        <v>593220.3389830509</v>
      </c>
      <c r="H34" s="235"/>
      <c r="I34" s="236"/>
      <c r="Q34" s="253"/>
      <c r="R34" s="241"/>
      <c r="U34" s="241"/>
      <c r="Y34" s="241"/>
    </row>
    <row r="35" spans="2:25" ht="15.75" x14ac:dyDescent="0.25">
      <c r="B35" s="231"/>
      <c r="C35" s="254" t="s">
        <v>201</v>
      </c>
      <c r="D35" s="231"/>
      <c r="E35" s="244"/>
      <c r="F35" s="248"/>
      <c r="G35" s="234"/>
      <c r="H35" s="235"/>
      <c r="I35" s="236"/>
      <c r="Q35" s="253"/>
      <c r="R35" s="241"/>
      <c r="U35" s="241"/>
      <c r="Y35" s="241"/>
    </row>
    <row r="36" spans="2:25" ht="15.75" x14ac:dyDescent="0.25">
      <c r="B36" s="231">
        <v>17</v>
      </c>
      <c r="C36" s="224" t="s">
        <v>202</v>
      </c>
      <c r="D36" s="231" t="s">
        <v>203</v>
      </c>
      <c r="E36" s="255">
        <v>150</v>
      </c>
      <c r="F36" s="242">
        <f>0.71*L22/1.18</f>
        <v>46.932203389830505</v>
      </c>
      <c r="G36" s="234">
        <f t="shared" si="3"/>
        <v>7039.8305084745762</v>
      </c>
      <c r="H36" s="235">
        <f t="shared" si="0"/>
        <v>9.8908753192477362E-3</v>
      </c>
      <c r="I36" s="236">
        <f>G36/$G$46</f>
        <v>2.4588174991464046E-3</v>
      </c>
      <c r="M36" s="249"/>
      <c r="Q36" s="253"/>
      <c r="R36" s="241"/>
      <c r="U36" s="241"/>
    </row>
    <row r="37" spans="2:25" ht="15.75" x14ac:dyDescent="0.25">
      <c r="B37" s="231">
        <v>18</v>
      </c>
      <c r="C37" s="224" t="s">
        <v>96</v>
      </c>
      <c r="D37" s="231" t="s">
        <v>75</v>
      </c>
      <c r="E37" s="244">
        <f>F19*2</f>
        <v>6</v>
      </c>
      <c r="F37" s="256">
        <f>0.74*L22</f>
        <v>57.72</v>
      </c>
      <c r="G37" s="234">
        <f t="shared" si="3"/>
        <v>346.32</v>
      </c>
      <c r="H37" s="235">
        <f t="shared" si="0"/>
        <v>4.865753424657534E-4</v>
      </c>
      <c r="I37" s="236">
        <f>G37/$G$46</f>
        <v>1.2095996846505016E-4</v>
      </c>
      <c r="P37" s="253"/>
      <c r="Q37" s="257"/>
      <c r="R37" s="257"/>
      <c r="U37" s="241"/>
    </row>
    <row r="38" spans="2:25" ht="15.75" x14ac:dyDescent="0.25">
      <c r="B38" s="231">
        <v>21</v>
      </c>
      <c r="C38" s="224" t="s">
        <v>204</v>
      </c>
      <c r="D38" s="231" t="s">
        <v>75</v>
      </c>
      <c r="E38" s="244">
        <v>1</v>
      </c>
      <c r="F38" s="258">
        <v>50000</v>
      </c>
      <c r="G38" s="234">
        <f t="shared" si="3"/>
        <v>50000</v>
      </c>
      <c r="H38" s="235">
        <f t="shared" si="0"/>
        <v>7.0249385317878471E-2</v>
      </c>
      <c r="I38" s="236">
        <f>G38/$G$46</f>
        <v>1.7463612910754527E-2</v>
      </c>
      <c r="L38" s="259"/>
      <c r="M38" s="259"/>
      <c r="S38" s="260"/>
      <c r="T38" s="260"/>
    </row>
    <row r="39" spans="2:25" ht="15.75" x14ac:dyDescent="0.25">
      <c r="B39" s="231">
        <v>26</v>
      </c>
      <c r="C39" s="224" t="s">
        <v>205</v>
      </c>
      <c r="D39" s="261" t="s">
        <v>206</v>
      </c>
      <c r="E39" s="244">
        <v>1</v>
      </c>
      <c r="F39" s="262">
        <f>5000*D2/1.18</f>
        <v>46398.305084745763</v>
      </c>
      <c r="G39" s="234">
        <f t="shared" si="3"/>
        <v>46398.305084745763</v>
      </c>
      <c r="H39" s="235">
        <f t="shared" si="0"/>
        <v>6.51890482398957E-2</v>
      </c>
      <c r="I39" s="236">
        <f>G39/$G$46</f>
        <v>1.6205640794301871E-2</v>
      </c>
      <c r="L39" s="259"/>
      <c r="M39" s="263"/>
      <c r="N39" s="259"/>
      <c r="S39" s="260"/>
      <c r="T39" s="260"/>
    </row>
    <row r="40" spans="2:25" ht="15.75" x14ac:dyDescent="0.25">
      <c r="B40" s="231"/>
      <c r="C40" s="224" t="s">
        <v>207</v>
      </c>
      <c r="D40" s="261" t="s">
        <v>75</v>
      </c>
      <c r="E40" s="244">
        <v>8</v>
      </c>
      <c r="F40" s="262">
        <v>12000</v>
      </c>
      <c r="G40" s="234">
        <f t="shared" si="3"/>
        <v>96000</v>
      </c>
      <c r="H40" s="235"/>
      <c r="I40" s="253"/>
      <c r="L40" s="259"/>
      <c r="M40" s="263"/>
      <c r="N40" s="259"/>
      <c r="S40" s="260"/>
      <c r="T40" s="260"/>
    </row>
    <row r="41" spans="2:25" ht="15.75" x14ac:dyDescent="0.25">
      <c r="B41" s="231"/>
      <c r="C41" s="264" t="s">
        <v>208</v>
      </c>
      <c r="D41" s="228"/>
      <c r="E41" s="265">
        <v>2</v>
      </c>
      <c r="F41" s="266">
        <v>375000</v>
      </c>
      <c r="G41" s="234">
        <f t="shared" si="3"/>
        <v>750000</v>
      </c>
      <c r="H41" s="235">
        <f t="shared" si="0"/>
        <v>1.053740779768177</v>
      </c>
      <c r="I41" s="253"/>
      <c r="L41" s="267"/>
      <c r="M41" s="267"/>
      <c r="N41" s="268"/>
      <c r="O41" s="269"/>
      <c r="P41" s="263"/>
      <c r="Q41" s="263"/>
      <c r="R41" s="263"/>
      <c r="S41" s="260"/>
      <c r="T41" s="260"/>
      <c r="U41" s="263"/>
    </row>
    <row r="42" spans="2:25" ht="15.75" x14ac:dyDescent="0.25">
      <c r="B42" s="231"/>
      <c r="C42" s="264" t="s">
        <v>92</v>
      </c>
      <c r="D42" s="228"/>
      <c r="E42" s="265">
        <v>1</v>
      </c>
      <c r="F42" s="262">
        <v>150000</v>
      </c>
      <c r="G42" s="234">
        <f>E42*F42</f>
        <v>150000</v>
      </c>
      <c r="H42" s="235">
        <f t="shared" si="0"/>
        <v>0.21074815595363541</v>
      </c>
      <c r="I42" s="253"/>
      <c r="M42" s="263"/>
      <c r="N42" s="260"/>
      <c r="O42" s="270"/>
      <c r="P42" s="260"/>
      <c r="Q42" s="260"/>
      <c r="R42" s="260"/>
      <c r="S42" s="260"/>
      <c r="T42" s="260"/>
      <c r="U42" s="260"/>
    </row>
    <row r="43" spans="2:25" ht="15.75" x14ac:dyDescent="0.25">
      <c r="B43" s="231"/>
      <c r="C43" s="264" t="s">
        <v>209</v>
      </c>
      <c r="D43" s="228"/>
      <c r="E43" s="265">
        <v>0</v>
      </c>
      <c r="F43" s="262">
        <v>2500000</v>
      </c>
      <c r="G43" s="234">
        <f>F43*E43</f>
        <v>0</v>
      </c>
      <c r="H43" s="235">
        <f t="shared" si="0"/>
        <v>0</v>
      </c>
      <c r="I43" s="253"/>
      <c r="M43" s="263"/>
      <c r="N43" s="260"/>
      <c r="O43" s="270"/>
      <c r="P43" s="260"/>
      <c r="Q43" s="260"/>
      <c r="R43" s="260"/>
      <c r="S43" s="260"/>
      <c r="T43" s="260"/>
      <c r="U43" s="260"/>
    </row>
    <row r="44" spans="2:25" ht="36.75" customHeight="1" x14ac:dyDescent="0.25">
      <c r="B44" s="231"/>
      <c r="C44" s="271"/>
      <c r="D44" s="228"/>
      <c r="E44" s="272"/>
      <c r="F44" s="262"/>
      <c r="G44" s="234">
        <f>F44</f>
        <v>0</v>
      </c>
      <c r="H44" s="235">
        <f t="shared" si="0"/>
        <v>0</v>
      </c>
      <c r="I44" s="253"/>
      <c r="M44" s="263"/>
      <c r="N44" s="260"/>
      <c r="O44" s="270"/>
      <c r="P44" s="260"/>
      <c r="Q44" s="260"/>
      <c r="R44" s="260"/>
      <c r="S44" s="260"/>
      <c r="T44" s="260"/>
      <c r="U44" s="260"/>
    </row>
    <row r="45" spans="2:25" ht="15.75" x14ac:dyDescent="0.25">
      <c r="B45" s="231"/>
      <c r="C45" s="264"/>
      <c r="D45" s="228"/>
      <c r="E45" s="272"/>
      <c r="F45" s="262"/>
      <c r="G45" s="234"/>
      <c r="H45" s="235"/>
      <c r="I45" s="234" t="e">
        <f>G48-G21-G23-#REF!</f>
        <v>#REF!</v>
      </c>
      <c r="L45" s="259"/>
      <c r="M45" s="260"/>
      <c r="O45" s="270"/>
      <c r="P45" s="260"/>
      <c r="Q45" s="260"/>
      <c r="R45" s="260"/>
      <c r="S45" s="260"/>
      <c r="T45" s="260"/>
      <c r="U45" s="260"/>
    </row>
    <row r="46" spans="2:25" ht="15.75" x14ac:dyDescent="0.25">
      <c r="B46" s="231"/>
      <c r="C46" s="264" t="s">
        <v>0</v>
      </c>
      <c r="D46" s="228"/>
      <c r="E46" s="265"/>
      <c r="F46" s="262"/>
      <c r="G46" s="234">
        <f>SUM(G21:G40)</f>
        <v>2863095.9845204055</v>
      </c>
      <c r="H46" s="235">
        <f t="shared" si="0"/>
        <v>4.0226146603728914</v>
      </c>
      <c r="I46" s="234">
        <f>G46*(1+0.1)</f>
        <v>3149405.5829724465</v>
      </c>
      <c r="L46" s="257"/>
      <c r="M46" s="260"/>
      <c r="O46" s="270"/>
      <c r="P46" s="260"/>
      <c r="Q46" s="260"/>
      <c r="R46" s="260"/>
      <c r="S46" s="260"/>
      <c r="T46" s="260"/>
      <c r="U46" s="260"/>
    </row>
    <row r="47" spans="2:25" ht="15.75" x14ac:dyDescent="0.2">
      <c r="B47" s="231"/>
      <c r="C47" s="273" t="s">
        <v>151</v>
      </c>
      <c r="D47" s="274" t="s">
        <v>86</v>
      </c>
      <c r="E47" s="272">
        <v>0.03</v>
      </c>
      <c r="F47" s="275"/>
      <c r="G47" s="276">
        <f>(SUM(G41:G46))*E47</f>
        <v>112892.87953561216</v>
      </c>
      <c r="H47" s="277">
        <f t="shared" ref="H47:H52" si="4">G47/$L$20/$L$22</f>
        <v>0.13217758990236758</v>
      </c>
      <c r="I47" s="259"/>
      <c r="L47" s="278"/>
      <c r="M47" s="263"/>
      <c r="N47" s="260"/>
      <c r="O47" s="270"/>
      <c r="P47" s="260"/>
      <c r="Q47" s="260"/>
      <c r="R47" s="260"/>
      <c r="S47" s="260"/>
      <c r="T47" s="260"/>
      <c r="U47" s="260"/>
    </row>
    <row r="48" spans="2:25" ht="15.75" x14ac:dyDescent="0.25">
      <c r="B48" s="213"/>
      <c r="C48" s="264" t="s">
        <v>87</v>
      </c>
      <c r="D48" s="231"/>
      <c r="E48" s="213"/>
      <c r="F48" s="213"/>
      <c r="G48" s="279">
        <f>SUM(G41:G47)</f>
        <v>3875988.8640560177</v>
      </c>
      <c r="H48" s="280">
        <f t="shared" si="4"/>
        <v>4.5380972533146204</v>
      </c>
      <c r="I48" s="259">
        <v>87109134.633479342</v>
      </c>
      <c r="M48" s="263"/>
      <c r="N48" s="260"/>
      <c r="O48" s="270"/>
      <c r="P48" s="260"/>
      <c r="Q48" s="260"/>
      <c r="R48" s="260"/>
      <c r="S48" s="260"/>
      <c r="T48" s="260"/>
      <c r="U48" s="260"/>
    </row>
    <row r="49" spans="1:24" ht="15.75" x14ac:dyDescent="0.25">
      <c r="B49" s="213"/>
      <c r="C49" s="264" t="s">
        <v>88</v>
      </c>
      <c r="D49" s="231" t="s">
        <v>86</v>
      </c>
      <c r="E49" s="281">
        <v>0.1</v>
      </c>
      <c r="F49" s="213"/>
      <c r="G49" s="282">
        <f>G48*E49</f>
        <v>387598.88640560181</v>
      </c>
      <c r="H49" s="280">
        <f t="shared" si="4"/>
        <v>0.45380972533146208</v>
      </c>
      <c r="I49" s="259">
        <v>13066370.195021901</v>
      </c>
      <c r="M49" s="263"/>
      <c r="N49" s="260"/>
      <c r="O49" s="270"/>
      <c r="P49" s="260"/>
      <c r="Q49" s="260"/>
      <c r="R49" s="260"/>
      <c r="S49" s="260"/>
      <c r="T49" s="260"/>
      <c r="U49" s="260"/>
    </row>
    <row r="50" spans="1:24" ht="15.75" x14ac:dyDescent="0.25">
      <c r="B50" s="213"/>
      <c r="C50" s="264" t="s">
        <v>89</v>
      </c>
      <c r="D50" s="231"/>
      <c r="E50" s="283"/>
      <c r="F50" s="213"/>
      <c r="G50" s="284">
        <f>G49+G48</f>
        <v>4263587.7504616193</v>
      </c>
      <c r="H50" s="280">
        <f t="shared" si="4"/>
        <v>4.9919069786460835</v>
      </c>
      <c r="I50" s="259">
        <v>100175504.82850124</v>
      </c>
      <c r="M50" s="263"/>
      <c r="N50" s="260"/>
      <c r="O50" s="270"/>
      <c r="P50" s="260"/>
      <c r="Q50" s="260"/>
      <c r="R50" s="260"/>
      <c r="S50" s="260"/>
      <c r="T50" s="260"/>
      <c r="U50" s="260"/>
    </row>
    <row r="51" spans="1:24" ht="15.75" x14ac:dyDescent="0.25">
      <c r="B51" s="213"/>
      <c r="C51" s="264" t="s">
        <v>90</v>
      </c>
      <c r="D51" s="231"/>
      <c r="E51" s="213"/>
      <c r="F51" s="213"/>
      <c r="G51" s="282">
        <f>G50*0.18</f>
        <v>767445.79508309148</v>
      </c>
      <c r="H51" s="280">
        <f t="shared" si="4"/>
        <v>0.89854325615629482</v>
      </c>
      <c r="I51" s="259">
        <v>18031590.869130224</v>
      </c>
      <c r="M51" s="263"/>
      <c r="N51" s="260"/>
      <c r="O51" s="270"/>
      <c r="P51" s="260"/>
      <c r="Q51" s="260"/>
      <c r="R51" s="260"/>
      <c r="S51" s="260"/>
      <c r="T51" s="260"/>
      <c r="U51" s="260"/>
    </row>
    <row r="52" spans="1:24" ht="15.75" x14ac:dyDescent="0.25">
      <c r="B52" s="213"/>
      <c r="C52" s="271" t="s">
        <v>91</v>
      </c>
      <c r="D52" s="231"/>
      <c r="E52" s="213"/>
      <c r="F52" s="213"/>
      <c r="G52" s="282">
        <f>G51+G50</f>
        <v>5031033.5455447109</v>
      </c>
      <c r="H52" s="280">
        <f t="shared" si="4"/>
        <v>5.8904502348023779</v>
      </c>
      <c r="I52" s="259">
        <v>118207095.69763146</v>
      </c>
      <c r="L52" s="257"/>
      <c r="M52" s="263"/>
      <c r="N52" s="260"/>
      <c r="O52" s="285"/>
      <c r="P52" s="260"/>
      <c r="Q52" s="260"/>
      <c r="R52" s="260"/>
      <c r="S52" s="260"/>
      <c r="T52" s="260"/>
      <c r="U52" s="260"/>
      <c r="V52" s="225"/>
      <c r="W52" s="225"/>
      <c r="X52" s="225"/>
    </row>
    <row r="53" spans="1:24" x14ac:dyDescent="0.25">
      <c r="F53" s="286"/>
      <c r="G53" s="286"/>
      <c r="I53" s="259"/>
      <c r="L53" s="257"/>
      <c r="M53" s="263"/>
      <c r="N53" s="260"/>
      <c r="O53" s="270"/>
      <c r="P53" s="260"/>
      <c r="Q53" s="260"/>
      <c r="R53" s="260"/>
      <c r="S53" s="260"/>
      <c r="T53" s="260"/>
      <c r="U53" s="260"/>
      <c r="V53" s="287"/>
      <c r="W53" s="225"/>
      <c r="X53" s="225"/>
    </row>
    <row r="54" spans="1:24" ht="15.75" customHeight="1" x14ac:dyDescent="0.25">
      <c r="L54" s="257"/>
      <c r="M54" s="263"/>
      <c r="N54" s="260"/>
      <c r="O54" s="270"/>
      <c r="P54" s="260"/>
      <c r="Q54" s="260"/>
      <c r="R54" s="260"/>
      <c r="S54" s="260"/>
      <c r="T54" s="260"/>
      <c r="U54" s="260"/>
      <c r="V54" s="287"/>
      <c r="W54" s="225"/>
      <c r="X54" s="225"/>
    </row>
    <row r="55" spans="1:24" x14ac:dyDescent="0.25">
      <c r="C55" s="288"/>
      <c r="G55" s="249"/>
      <c r="L55" s="257"/>
      <c r="M55" s="263"/>
      <c r="N55" s="260"/>
      <c r="O55" s="270"/>
      <c r="P55" s="260"/>
      <c r="Q55" s="260"/>
      <c r="R55" s="260"/>
      <c r="S55" s="260"/>
      <c r="T55" s="260"/>
      <c r="U55" s="260"/>
      <c r="V55" s="287"/>
      <c r="W55" s="225"/>
      <c r="X55" s="225"/>
    </row>
    <row r="56" spans="1:24" hidden="1" x14ac:dyDescent="0.25">
      <c r="C56" s="209" t="s">
        <v>92</v>
      </c>
      <c r="L56" s="257"/>
      <c r="M56" s="257"/>
      <c r="N56" s="257"/>
      <c r="S56" s="260"/>
      <c r="T56" s="260"/>
      <c r="U56" s="225"/>
      <c r="V56" s="287"/>
      <c r="W56" s="225"/>
      <c r="X56" s="225"/>
    </row>
    <row r="57" spans="1:24" hidden="1" x14ac:dyDescent="0.25">
      <c r="C57" s="230" t="s">
        <v>210</v>
      </c>
      <c r="D57" s="289" t="s">
        <v>93</v>
      </c>
      <c r="E57" s="230">
        <f>ROUNDUP((E23)/32,0)</f>
        <v>1</v>
      </c>
      <c r="L57" s="257"/>
      <c r="M57" s="257"/>
      <c r="N57" s="257"/>
      <c r="O57" s="290"/>
      <c r="S57" s="260"/>
      <c r="T57" s="260"/>
      <c r="U57" s="225"/>
      <c r="V57" s="291"/>
      <c r="W57" s="225"/>
      <c r="X57" s="225"/>
    </row>
    <row r="58" spans="1:24" hidden="1" x14ac:dyDescent="0.25">
      <c r="C58" s="230" t="s">
        <v>94</v>
      </c>
      <c r="D58" s="289"/>
      <c r="E58" s="230">
        <f>E57</f>
        <v>1</v>
      </c>
      <c r="L58" s="257"/>
      <c r="M58" s="257"/>
      <c r="N58" s="257"/>
      <c r="S58" s="260"/>
      <c r="T58" s="260"/>
      <c r="U58" s="225"/>
      <c r="V58" s="287"/>
      <c r="W58" s="225"/>
      <c r="X58" s="225"/>
    </row>
    <row r="59" spans="1:24" hidden="1" x14ac:dyDescent="0.25">
      <c r="S59" s="260"/>
      <c r="T59" s="260"/>
      <c r="U59" s="225"/>
      <c r="V59" s="287"/>
      <c r="W59" s="225"/>
      <c r="X59" s="225"/>
    </row>
    <row r="60" spans="1:24" s="211" customFormat="1" hidden="1" x14ac:dyDescent="0.25">
      <c r="A60" s="209"/>
      <c r="B60" s="209"/>
      <c r="C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12"/>
      <c r="P60" s="209"/>
      <c r="Q60" s="209"/>
      <c r="R60" s="209"/>
      <c r="S60" s="260"/>
      <c r="T60" s="260"/>
      <c r="U60" s="225"/>
      <c r="V60" s="291"/>
      <c r="W60" s="225"/>
      <c r="X60" s="225"/>
    </row>
    <row r="61" spans="1:24" hidden="1" x14ac:dyDescent="0.25">
      <c r="C61" s="292" t="s">
        <v>211</v>
      </c>
      <c r="D61" s="293"/>
      <c r="E61" s="294"/>
      <c r="S61" s="260"/>
      <c r="T61" s="260"/>
      <c r="U61" s="225"/>
      <c r="V61" s="287"/>
      <c r="W61" s="225"/>
      <c r="X61" s="225"/>
    </row>
    <row r="62" spans="1:24" hidden="1" x14ac:dyDescent="0.25">
      <c r="C62" s="295" t="s">
        <v>92</v>
      </c>
      <c r="E62" s="296"/>
      <c r="S62" s="260"/>
      <c r="T62" s="260"/>
    </row>
    <row r="63" spans="1:24" hidden="1" x14ac:dyDescent="0.25">
      <c r="C63" s="297" t="s">
        <v>212</v>
      </c>
      <c r="D63" s="289" t="s">
        <v>93</v>
      </c>
      <c r="E63" s="298">
        <f>ROUNDUP((E23)/32,0)</f>
        <v>1</v>
      </c>
      <c r="J63" s="259"/>
      <c r="S63" s="260"/>
      <c r="T63" s="260"/>
    </row>
    <row r="64" spans="1:24" hidden="1" x14ac:dyDescent="0.25">
      <c r="C64" s="299" t="s">
        <v>213</v>
      </c>
      <c r="D64" s="300" t="s">
        <v>93</v>
      </c>
      <c r="E64" s="301">
        <f>E63</f>
        <v>1</v>
      </c>
      <c r="L64" s="211"/>
      <c r="M64" s="211"/>
      <c r="N64" s="211"/>
      <c r="O64" s="227"/>
      <c r="P64" s="211"/>
      <c r="Q64" s="211"/>
      <c r="R64" s="211"/>
      <c r="S64" s="260"/>
      <c r="T64" s="260"/>
      <c r="U64" s="211"/>
      <c r="V64" s="211"/>
    </row>
    <row r="65" spans="3:20" hidden="1" x14ac:dyDescent="0.25">
      <c r="C65" s="302"/>
      <c r="E65" s="296"/>
      <c r="P65" s="303"/>
      <c r="S65" s="260"/>
      <c r="T65" s="260"/>
    </row>
    <row r="66" spans="3:20" hidden="1" x14ac:dyDescent="0.25">
      <c r="C66" s="295" t="s">
        <v>95</v>
      </c>
      <c r="E66" s="296"/>
      <c r="P66" s="303"/>
      <c r="S66" s="260"/>
      <c r="T66" s="260"/>
    </row>
    <row r="67" spans="3:20" hidden="1" x14ac:dyDescent="0.25">
      <c r="C67" s="304" t="s">
        <v>214</v>
      </c>
      <c r="D67" s="289" t="s">
        <v>93</v>
      </c>
      <c r="E67" s="298">
        <f>ROUNDUP(E21/27/16,0)</f>
        <v>1</v>
      </c>
      <c r="P67" s="303"/>
      <c r="S67" s="260"/>
      <c r="T67" s="260"/>
    </row>
    <row r="68" spans="3:20" hidden="1" x14ac:dyDescent="0.25">
      <c r="C68" s="305" t="s">
        <v>215</v>
      </c>
      <c r="D68" s="289" t="s">
        <v>93</v>
      </c>
      <c r="E68" s="298">
        <f>ROUNDUP(D2/1000*3,0)</f>
        <v>1</v>
      </c>
      <c r="S68" s="260"/>
      <c r="T68" s="260"/>
    </row>
    <row r="69" spans="3:20" ht="32.25" hidden="1" customHeight="1" x14ac:dyDescent="0.25">
      <c r="C69" s="304" t="s">
        <v>216</v>
      </c>
      <c r="D69" s="513" t="s">
        <v>93</v>
      </c>
      <c r="E69" s="515" t="e">
        <f>IF(E76&gt;1,0,1)</f>
        <v>#REF!</v>
      </c>
      <c r="O69" s="306"/>
      <c r="P69" s="307"/>
      <c r="S69" s="260"/>
      <c r="T69" s="260"/>
    </row>
    <row r="70" spans="3:20" ht="32.25" hidden="1" customHeight="1" x14ac:dyDescent="0.25">
      <c r="C70" s="304" t="s">
        <v>100</v>
      </c>
      <c r="D70" s="514"/>
      <c r="E70" s="516"/>
      <c r="O70" s="306"/>
      <c r="P70" s="307"/>
      <c r="S70" s="260"/>
      <c r="T70" s="260"/>
    </row>
    <row r="71" spans="3:20" hidden="1" x14ac:dyDescent="0.25">
      <c r="C71" s="304" t="s">
        <v>217</v>
      </c>
      <c r="D71" s="514"/>
      <c r="E71" s="516"/>
      <c r="O71" s="306"/>
      <c r="P71" s="307"/>
      <c r="S71" s="260"/>
      <c r="T71" s="260"/>
    </row>
    <row r="72" spans="3:20" ht="35.25" hidden="1" customHeight="1" x14ac:dyDescent="0.25">
      <c r="C72" s="304" t="s">
        <v>218</v>
      </c>
      <c r="D72" s="514"/>
      <c r="E72" s="516"/>
      <c r="O72" s="306"/>
      <c r="P72" s="307"/>
      <c r="S72" s="260"/>
      <c r="T72" s="260"/>
    </row>
    <row r="73" spans="3:20" ht="18" hidden="1" customHeight="1" x14ac:dyDescent="0.25">
      <c r="C73" s="304" t="s">
        <v>219</v>
      </c>
      <c r="D73" s="514"/>
      <c r="E73" s="516"/>
      <c r="O73" s="306"/>
      <c r="P73" s="307"/>
      <c r="S73" s="260"/>
      <c r="T73" s="260"/>
    </row>
    <row r="74" spans="3:20" ht="15.75" hidden="1" customHeight="1" x14ac:dyDescent="0.25">
      <c r="C74" s="305" t="s">
        <v>220</v>
      </c>
      <c r="D74" s="308" t="s">
        <v>93</v>
      </c>
      <c r="E74" s="309">
        <v>0</v>
      </c>
      <c r="O74" s="306"/>
      <c r="P74" s="310"/>
      <c r="S74" s="260"/>
      <c r="T74" s="260"/>
    </row>
    <row r="75" spans="3:20" hidden="1" x14ac:dyDescent="0.25">
      <c r="C75" s="305" t="s">
        <v>221</v>
      </c>
      <c r="D75" s="513" t="s">
        <v>93</v>
      </c>
      <c r="E75" s="311">
        <f>E34</f>
        <v>1</v>
      </c>
      <c r="S75" s="260"/>
      <c r="T75" s="260"/>
    </row>
    <row r="76" spans="3:20" hidden="1" x14ac:dyDescent="0.25">
      <c r="C76" s="297" t="s">
        <v>212</v>
      </c>
      <c r="D76" s="517"/>
      <c r="E76" s="312" t="e">
        <f>#REF!</f>
        <v>#REF!</v>
      </c>
      <c r="S76" s="260"/>
      <c r="T76" s="260"/>
    </row>
    <row r="77" spans="3:20" hidden="1" x14ac:dyDescent="0.25">
      <c r="C77" s="313" t="s">
        <v>222</v>
      </c>
      <c r="D77" s="308" t="s">
        <v>93</v>
      </c>
      <c r="E77" s="314">
        <v>1</v>
      </c>
      <c r="S77" s="260"/>
      <c r="T77" s="260"/>
    </row>
    <row r="78" spans="3:20" ht="15.75" hidden="1" thickBot="1" x14ac:dyDescent="0.3">
      <c r="C78" s="315" t="s">
        <v>223</v>
      </c>
      <c r="D78" s="316" t="s">
        <v>93</v>
      </c>
      <c r="E78" s="317" t="e">
        <f>SUM(E67:E77)</f>
        <v>#REF!</v>
      </c>
      <c r="S78" s="260"/>
      <c r="T78" s="260"/>
    </row>
    <row r="79" spans="3:20" ht="12.75" hidden="1" customHeight="1" x14ac:dyDescent="0.25">
      <c r="S79" s="260"/>
      <c r="T79" s="260"/>
    </row>
    <row r="80" spans="3:20" hidden="1" x14ac:dyDescent="0.25">
      <c r="S80" s="260"/>
      <c r="T80" s="260"/>
    </row>
    <row r="81" spans="3:20" hidden="1" x14ac:dyDescent="0.25">
      <c r="S81" s="260"/>
      <c r="T81" s="260"/>
    </row>
    <row r="82" spans="3:20" hidden="1" x14ac:dyDescent="0.25">
      <c r="C82" s="209" t="s">
        <v>224</v>
      </c>
      <c r="S82" s="260"/>
      <c r="T82" s="260"/>
    </row>
    <row r="83" spans="3:20" hidden="1" x14ac:dyDescent="0.25">
      <c r="C83" s="209" t="s">
        <v>97</v>
      </c>
      <c r="S83" s="260"/>
      <c r="T83" s="260"/>
    </row>
    <row r="84" spans="3:20" hidden="1" x14ac:dyDescent="0.25">
      <c r="C84" s="209" t="s">
        <v>98</v>
      </c>
      <c r="S84" s="260"/>
      <c r="T84" s="260"/>
    </row>
    <row r="85" spans="3:20" hidden="1" x14ac:dyDescent="0.25">
      <c r="C85" s="209" t="s">
        <v>99</v>
      </c>
      <c r="S85" s="260"/>
      <c r="T85" s="260"/>
    </row>
    <row r="86" spans="3:20" x14ac:dyDescent="0.25">
      <c r="C86" s="318" t="s">
        <v>225</v>
      </c>
      <c r="S86" s="260"/>
      <c r="T86" s="260"/>
    </row>
    <row r="87" spans="3:20" x14ac:dyDescent="0.25">
      <c r="C87" s="318" t="s">
        <v>226</v>
      </c>
      <c r="S87" s="260"/>
      <c r="T87" s="260"/>
    </row>
    <row r="88" spans="3:20" x14ac:dyDescent="0.25">
      <c r="C88" s="318" t="s">
        <v>227</v>
      </c>
      <c r="F88" s="211"/>
      <c r="G88" s="211"/>
      <c r="S88" s="260"/>
      <c r="T88" s="260"/>
    </row>
    <row r="89" spans="3:20" ht="15.75" x14ac:dyDescent="0.25">
      <c r="C89" s="209" t="s">
        <v>228</v>
      </c>
      <c r="D89" s="282">
        <f>G50</f>
        <v>4263587.7504616193</v>
      </c>
      <c r="F89" s="211"/>
      <c r="G89" s="211"/>
      <c r="S89" s="260"/>
      <c r="T89" s="260"/>
    </row>
    <row r="90" spans="3:20" x14ac:dyDescent="0.25">
      <c r="S90" s="260"/>
      <c r="T90" s="260"/>
    </row>
    <row r="91" spans="3:20" x14ac:dyDescent="0.25">
      <c r="C91" s="209" t="s">
        <v>229</v>
      </c>
      <c r="S91" s="260"/>
      <c r="T91" s="260"/>
    </row>
    <row r="92" spans="3:20" x14ac:dyDescent="0.25">
      <c r="C92" s="209" t="s">
        <v>230</v>
      </c>
      <c r="D92" s="319">
        <v>35300</v>
      </c>
      <c r="S92" s="260"/>
      <c r="T92" s="260"/>
    </row>
    <row r="93" spans="3:20" x14ac:dyDescent="0.25">
      <c r="C93" s="209" t="s">
        <v>231</v>
      </c>
      <c r="D93" s="320">
        <f>D92*0.33*49.378</f>
        <v>575204.32200000004</v>
      </c>
      <c r="S93" s="260"/>
      <c r="T93" s="260"/>
    </row>
    <row r="94" spans="3:20" x14ac:dyDescent="0.25">
      <c r="S94" s="260"/>
      <c r="T94" s="260"/>
    </row>
    <row r="95" spans="3:20" x14ac:dyDescent="0.25">
      <c r="C95" s="209" t="s">
        <v>232</v>
      </c>
    </row>
    <row r="96" spans="3:20" ht="12.75" customHeight="1" x14ac:dyDescent="0.25">
      <c r="C96" s="209" t="s">
        <v>233</v>
      </c>
      <c r="D96" s="319">
        <v>12000</v>
      </c>
    </row>
    <row r="97" spans="3:4" ht="13.5" customHeight="1" x14ac:dyDescent="0.25">
      <c r="C97" s="209" t="s">
        <v>234</v>
      </c>
      <c r="D97" s="320">
        <f>(D92-D96)/1</f>
        <v>23300</v>
      </c>
    </row>
    <row r="98" spans="3:4" x14ac:dyDescent="0.25">
      <c r="C98" s="209" t="s">
        <v>231</v>
      </c>
      <c r="D98" s="320">
        <f>D97*0.27*49.378</f>
        <v>310636.99800000002</v>
      </c>
    </row>
    <row r="99" spans="3:4" x14ac:dyDescent="0.25">
      <c r="C99" s="209" t="s">
        <v>235</v>
      </c>
      <c r="D99" s="320">
        <f>D93-D98</f>
        <v>264567.32400000002</v>
      </c>
    </row>
    <row r="101" spans="3:4" x14ac:dyDescent="0.25">
      <c r="C101" s="209" t="s">
        <v>236</v>
      </c>
      <c r="D101" s="211">
        <f>G50/D99</f>
        <v>16.115322504685494</v>
      </c>
    </row>
  </sheetData>
  <mergeCells count="4">
    <mergeCell ref="O18:O19"/>
    <mergeCell ref="D69:D73"/>
    <mergeCell ref="E69:E73"/>
    <mergeCell ref="D75:D7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Свод</vt:lpstr>
      <vt:lpstr>ПРАЙС ЮСТ</vt:lpstr>
      <vt:lpstr>Мегафон</vt:lpstr>
      <vt:lpstr>САФМАР</vt:lpstr>
      <vt:lpstr>№А4 (ES)</vt:lpstr>
      <vt:lpstr>№А6 (LiON)</vt:lpstr>
      <vt:lpstr>№А6 ES3.0 (LiON)</vt:lpstr>
      <vt:lpstr>ES 5.0 (LiON) </vt:lpstr>
      <vt:lpstr>Дима 1</vt:lpstr>
      <vt:lpstr>Дима 2</vt:lpstr>
      <vt:lpstr>Комплекты - Д4</vt:lpstr>
      <vt:lpstr>Стоимость упаковки</vt:lpstr>
      <vt:lpstr>Себестоимость оборудования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2026-03-28T06:01:43Z</dcterms:modified>
</cp:coreProperties>
</file>